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241" documentId="13_ncr:1_{C5F18AF6-0216-4CF0-99CB-3731EDF85B68}" xr6:coauthVersionLast="47" xr6:coauthVersionMax="47" xr10:uidLastSave="{CE5FAD89-EA9C-43C9-9F31-DF760A16CFAD}"/>
  <bookViews>
    <workbookView xWindow="38280" yWindow="-120" windowWidth="38640" windowHeight="21120" firstSheet="1" activeTab="3"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8" i="1" l="1"/>
  <c r="G116" i="1" l="1"/>
  <c r="G133" i="1"/>
  <c r="G124" i="1"/>
  <c r="G84" i="1" l="1"/>
  <c r="L106" i="1"/>
  <c r="G106" i="1"/>
  <c r="G264" i="1"/>
  <c r="G208" i="1"/>
  <c r="G246" i="1"/>
  <c r="G110" i="1"/>
  <c r="G263" i="1"/>
  <c r="G121" i="1"/>
  <c r="G72" i="1"/>
  <c r="G71" i="1"/>
  <c r="L276" i="1"/>
  <c r="L275" i="1" s="1"/>
  <c r="L274" i="1"/>
  <c r="L273" i="1"/>
  <c r="L272" i="1"/>
  <c r="L271" i="1"/>
  <c r="L270" i="1"/>
  <c r="L269" i="1"/>
  <c r="L268" i="1"/>
  <c r="L267" i="1"/>
  <c r="L266" i="1"/>
  <c r="L265" i="1"/>
  <c r="L264" i="1"/>
  <c r="L263" i="1"/>
  <c r="L262" i="1"/>
  <c r="L261" i="1"/>
  <c r="L260" i="1"/>
  <c r="L259"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0" i="1"/>
  <c r="L229" i="1"/>
  <c r="L228" i="1"/>
  <c r="L227" i="1"/>
  <c r="L226" i="1"/>
  <c r="L225" i="1"/>
  <c r="L224" i="1"/>
  <c r="L223" i="1"/>
  <c r="L222" i="1"/>
  <c r="L221" i="1"/>
  <c r="L219" i="1"/>
  <c r="L218" i="1"/>
  <c r="L217" i="1"/>
  <c r="L216" i="1"/>
  <c r="L215" i="1"/>
  <c r="L214" i="1"/>
  <c r="L213" i="1"/>
  <c r="L212" i="1"/>
  <c r="L211" i="1"/>
  <c r="L210" i="1"/>
  <c r="L209" i="1"/>
  <c r="L208"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0" i="1"/>
  <c r="L179" i="1"/>
  <c r="L178" i="1"/>
  <c r="L177" i="1"/>
  <c r="L176" i="1"/>
  <c r="L175" i="1"/>
  <c r="L174" i="1"/>
  <c r="L173" i="1"/>
  <c r="L172" i="1"/>
  <c r="L171" i="1"/>
  <c r="L170" i="1"/>
  <c r="L169" i="1"/>
  <c r="L168" i="1"/>
  <c r="L167" i="1"/>
  <c r="L166" i="1"/>
  <c r="L165" i="1"/>
  <c r="L164" i="1"/>
  <c r="L163" i="1"/>
  <c r="L162" i="1"/>
  <c r="L161" i="1"/>
  <c r="L160" i="1"/>
  <c r="L159" i="1"/>
  <c r="L158" i="1"/>
  <c r="L157" i="1"/>
  <c r="L155" i="1"/>
  <c r="L154" i="1"/>
  <c r="L153" i="1"/>
  <c r="L152" i="1"/>
  <c r="L151" i="1"/>
  <c r="L150" i="1"/>
  <c r="L149" i="1"/>
  <c r="L148" i="1"/>
  <c r="L147" i="1"/>
  <c r="L146" i="1"/>
  <c r="L145" i="1"/>
  <c r="L144" i="1"/>
  <c r="L143" i="1"/>
  <c r="L142" i="1"/>
  <c r="L140" i="1"/>
  <c r="L139" i="1"/>
  <c r="L138" i="1"/>
  <c r="L137" i="1"/>
  <c r="L136" i="1"/>
  <c r="L135" i="1"/>
  <c r="L134" i="1"/>
  <c r="L133" i="1"/>
  <c r="L132" i="1"/>
  <c r="L131" i="1"/>
  <c r="L130" i="1"/>
  <c r="L129" i="1"/>
  <c r="L128" i="1"/>
  <c r="L127" i="1"/>
  <c r="L126" i="1"/>
  <c r="L125" i="1"/>
  <c r="L124" i="1"/>
  <c r="L123" i="1"/>
  <c r="L122" i="1"/>
  <c r="L121" i="1"/>
  <c r="L119" i="1"/>
  <c r="L118" i="1"/>
  <c r="L117" i="1"/>
  <c r="L116" i="1"/>
  <c r="L115" i="1"/>
  <c r="L114" i="1"/>
  <c r="L113" i="1"/>
  <c r="L112" i="1"/>
  <c r="L111" i="1"/>
  <c r="L110" i="1"/>
  <c r="L109" i="1"/>
  <c r="L108" i="1"/>
  <c r="L107" i="1"/>
  <c r="L105" i="1"/>
  <c r="L104" i="1"/>
  <c r="L103" i="1"/>
  <c r="L102" i="1"/>
  <c r="L101" i="1"/>
  <c r="L100" i="1"/>
  <c r="L99" i="1"/>
  <c r="L98" i="1"/>
  <c r="L97" i="1"/>
  <c r="L96" i="1"/>
  <c r="L95" i="1"/>
  <c r="L94" i="1"/>
  <c r="L93" i="1"/>
  <c r="L92" i="1"/>
  <c r="L91" i="1"/>
  <c r="L89" i="1"/>
  <c r="L88" i="1"/>
  <c r="L87" i="1"/>
  <c r="L86" i="1"/>
  <c r="L85" i="1"/>
  <c r="L84" i="1"/>
  <c r="L83" i="1"/>
  <c r="L82" i="1"/>
  <c r="L81" i="1"/>
  <c r="L80" i="1"/>
  <c r="L79" i="1"/>
  <c r="L78" i="1"/>
  <c r="L77" i="1"/>
  <c r="L75" i="1"/>
  <c r="L74" i="1"/>
  <c r="L73" i="1"/>
  <c r="L72" i="1"/>
  <c r="L71" i="1"/>
  <c r="L70" i="1"/>
  <c r="L69" i="1"/>
  <c r="L68" i="1"/>
  <c r="L67" i="1"/>
  <c r="L66" i="1"/>
  <c r="L65" i="1"/>
  <c r="L64" i="1"/>
  <c r="L63" i="1"/>
  <c r="L62" i="1"/>
  <c r="L61" i="1"/>
  <c r="L59" i="1"/>
  <c r="L58" i="1"/>
  <c r="L57" i="1"/>
  <c r="L56" i="1"/>
  <c r="L55" i="1"/>
  <c r="L54" i="1"/>
  <c r="L53" i="1"/>
  <c r="L52" i="1"/>
  <c r="L51" i="1"/>
  <c r="L50" i="1"/>
  <c r="L49" i="1"/>
  <c r="L48" i="1"/>
  <c r="L47" i="1"/>
  <c r="L46" i="1"/>
  <c r="G261" i="1"/>
  <c r="G274" i="1"/>
  <c r="G149" i="1"/>
  <c r="G137" i="1"/>
  <c r="G135" i="1"/>
  <c r="L90" i="1" l="1"/>
  <c r="L141" i="1"/>
  <c r="L76" i="1"/>
  <c r="L60" i="1"/>
  <c r="L220" i="1"/>
  <c r="L120" i="1"/>
  <c r="L207" i="1"/>
  <c r="L45" i="1"/>
  <c r="L181" i="1"/>
  <c r="L156" i="1"/>
  <c r="L231" i="1"/>
  <c r="L258" i="1"/>
  <c r="G158" i="1"/>
  <c r="L5" i="1" l="1"/>
  <c r="G78" i="1"/>
  <c r="G77" i="1" l="1"/>
  <c r="G250" i="1" l="1"/>
  <c r="G227" i="1"/>
  <c r="G134" i="1"/>
  <c r="G119" i="1"/>
  <c r="G98" i="1"/>
  <c r="G97" i="1"/>
  <c r="G259" i="1"/>
  <c r="G188" i="1"/>
  <c r="G129" i="1"/>
  <c r="G94" i="1"/>
  <c r="G68" i="1"/>
  <c r="G67" i="1"/>
  <c r="G66" i="1"/>
  <c r="G65" i="1"/>
  <c r="G64" i="1"/>
  <c r="G57" i="1"/>
  <c r="G114" i="1" l="1"/>
  <c r="G136" i="1" l="1"/>
  <c r="G125" i="1"/>
  <c r="G272" i="1" l="1"/>
  <c r="G271" i="1"/>
  <c r="G270" i="1"/>
  <c r="G269" i="1"/>
  <c r="G267" i="1"/>
  <c r="G266" i="1"/>
  <c r="G260" i="1"/>
  <c r="G257" i="1"/>
  <c r="G256" i="1"/>
  <c r="G255" i="1"/>
  <c r="G254" i="1"/>
  <c r="G253" i="1"/>
  <c r="G252" i="1"/>
  <c r="G249" i="1"/>
  <c r="G248" i="1"/>
  <c r="G247" i="1"/>
  <c r="G244" i="1"/>
  <c r="G240" i="1"/>
  <c r="G235" i="1"/>
  <c r="G234" i="1"/>
  <c r="G233" i="1"/>
  <c r="G232" i="1"/>
  <c r="G230" i="1"/>
  <c r="G229" i="1"/>
  <c r="G228" i="1"/>
  <c r="G226" i="1"/>
  <c r="G225" i="1"/>
  <c r="G224" i="1"/>
  <c r="G223" i="1"/>
  <c r="G218" i="1"/>
  <c r="G212" i="1"/>
  <c r="G204" i="1"/>
  <c r="G202" i="1"/>
  <c r="G200" i="1"/>
  <c r="G198" i="1"/>
  <c r="G197" i="1"/>
  <c r="G196" i="1"/>
  <c r="G194" i="1"/>
  <c r="G193" i="1"/>
  <c r="G192" i="1"/>
  <c r="G191" i="1"/>
  <c r="G189" i="1"/>
  <c r="G185" i="1"/>
  <c r="G184" i="1"/>
  <c r="G182" i="1"/>
  <c r="G172" i="1"/>
  <c r="G170" i="1"/>
  <c r="G168" i="1"/>
  <c r="G167" i="1"/>
  <c r="G165" i="1"/>
  <c r="G164" i="1"/>
  <c r="G163" i="1"/>
  <c r="G161" i="1"/>
  <c r="G159" i="1"/>
  <c r="G157" i="1"/>
  <c r="G155" i="1"/>
  <c r="G154" i="1"/>
  <c r="G153" i="1"/>
  <c r="G152" i="1"/>
  <c r="G151" i="1"/>
  <c r="G150" i="1"/>
  <c r="G147" i="1"/>
  <c r="G146" i="1"/>
  <c r="G143" i="1"/>
  <c r="G142" i="1"/>
  <c r="G139" i="1"/>
  <c r="G138" i="1"/>
  <c r="G132" i="1"/>
  <c r="G127" i="1"/>
  <c r="G126" i="1"/>
  <c r="G123" i="1"/>
  <c r="G122" i="1"/>
  <c r="G118" i="1"/>
  <c r="G113" i="1"/>
  <c r="G109" i="1"/>
  <c r="G108" i="1"/>
  <c r="G107" i="1"/>
  <c r="G104" i="1"/>
  <c r="G103" i="1"/>
  <c r="G102" i="1"/>
  <c r="G101" i="1"/>
  <c r="G99" i="1"/>
  <c r="G93" i="1"/>
  <c r="G92" i="1"/>
  <c r="G89" i="1"/>
  <c r="G88" i="1"/>
  <c r="G85" i="1"/>
  <c r="G70" i="1"/>
  <c r="G53" i="1"/>
</calcChain>
</file>

<file path=xl/sharedStrings.xml><?xml version="1.0" encoding="utf-8"?>
<sst xmlns="http://schemas.openxmlformats.org/spreadsheetml/2006/main" count="2159" uniqueCount="1203">
  <si>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</si>
  <si>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</si>
  <si>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</si>
  <si>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</si>
  <si>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</si>
  <si>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</si>
  <si>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</si>
  <si>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</si>
  <si>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</si>
  <si>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</si>
  <si>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</si>
  <si>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</si>
  <si>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</si>
  <si>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</si>
  <si>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</si>
  <si>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</si>
  <si>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</si>
  <si>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Additional Information</t>
  </si>
  <si>
    <t>Guidance</t>
  </si>
  <si>
    <t>Company Overview</t>
  </si>
  <si>
    <t>Describe your organization’s business background and ownership structure, including all parent and subsidiary relationships.</t>
  </si>
  <si>
    <t>Include circumstances that may involve off-shoring or multi-national agreements.</t>
  </si>
  <si>
    <t>COMP-02</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</si>
  <si>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</si>
  <si>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</si>
  <si>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</si>
  <si>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</si>
  <si>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</si>
  <si>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</si>
  <si>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</si>
  <si>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</si>
  <si>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</si>
  <si>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</si>
  <si>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</si>
  <si>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</si>
  <si>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</si>
  <si>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</si>
  <si>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</si>
  <si>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</si>
  <si>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</si>
  <si>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</si>
  <si>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</si>
  <si>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</si>
  <si>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</si>
  <si>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</si>
  <si>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</si>
  <si>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</si>
  <si>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</si>
  <si>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</si>
  <si>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</si>
  <si>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</si>
  <si>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</si>
  <si>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</si>
  <si>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</si>
  <si>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</si>
  <si>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</si>
  <si>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</si>
  <si>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</si>
  <si>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</si>
  <si>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</si>
  <si>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</si>
  <si>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</si>
  <si>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</si>
  <si>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</si>
  <si>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</si>
  <si>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</si>
  <si>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</si>
  <si>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</si>
  <si>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</si>
  <si>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</si>
  <si>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</si>
  <si>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</si>
  <si>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</si>
  <si>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</si>
  <si>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</si>
  <si>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</si>
  <si>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</si>
  <si>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</si>
  <si>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</si>
  <si>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</si>
  <si>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</si>
  <si>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</si>
  <si>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</si>
  <si>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</si>
  <si>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</si>
  <si>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</si>
  <si>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</si>
  <si>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</si>
  <si>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</si>
  <si>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</si>
  <si>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</si>
  <si>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</si>
  <si>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</si>
  <si>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</si>
  <si>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</si>
  <si>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</si>
  <si>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</si>
  <si>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</si>
  <si>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</si>
  <si>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</si>
  <si>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</si>
  <si>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</si>
  <si>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Does your organization have a data privacy policy that applies to your computing systems?</t>
  </si>
  <si>
    <t>Can employees associated with the computing system access customer data/systems remotely?</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</si>
  <si>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</si>
  <si>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</si>
  <si>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</si>
  <si>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</si>
  <si>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</si>
  <si>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</si>
  <si>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</si>
  <si>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</si>
  <si>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</si>
  <si>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</si>
  <si>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</si>
  <si>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</si>
  <si>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</si>
  <si>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</si>
  <si>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</si>
  <si>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</si>
  <si>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</si>
  <si>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</si>
  <si>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</si>
  <si>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</si>
  <si>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</si>
  <si>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</si>
  <si>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</si>
  <si>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</si>
  <si>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</si>
  <si>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</si>
  <si>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</si>
  <si>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</si>
  <si>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</si>
  <si>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</si>
  <si>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</si>
  <si>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</si>
  <si>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</si>
  <si>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</si>
  <si>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</si>
  <si>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</si>
  <si>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</si>
  <si>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</si>
  <si>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</si>
  <si>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</si>
  <si>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</si>
  <si>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</si>
  <si>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</si>
  <si>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</si>
  <si>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</si>
  <si>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</si>
  <si>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</si>
  <si>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</si>
  <si>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</si>
  <si>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</si>
  <si>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</si>
  <si>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</si>
  <si>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</si>
  <si>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</si>
  <si>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</si>
  <si>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</si>
  <si>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</si>
  <si>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</si>
  <si>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</si>
  <si>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</si>
  <si>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</si>
  <si>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</si>
  <si>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</si>
  <si>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</si>
  <si>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</si>
  <si>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</si>
  <si>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</si>
  <si>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</si>
  <si>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</si>
  <si>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</si>
  <si>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</si>
  <si>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</si>
  <si>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</si>
  <si>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</si>
  <si>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</si>
  <si>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</si>
  <si>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</si>
  <si>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</si>
  <si>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</si>
  <si>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</si>
  <si>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</si>
  <si>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</si>
  <si>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</si>
  <si>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</si>
  <si>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</si>
  <si>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</si>
  <si>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</si>
  <si>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</si>
  <si>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</si>
  <si>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</si>
  <si>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</si>
  <si>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</si>
  <si>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</si>
  <si>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</si>
  <si>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</si>
  <si>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</si>
  <si>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</si>
  <si>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</si>
  <si>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</si>
  <si>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</si>
  <si>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</si>
  <si>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</si>
  <si>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</si>
  <si>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</si>
  <si>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</si>
  <si>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</si>
  <si>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</si>
  <si>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</si>
  <si>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</si>
  <si>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</si>
  <si>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</si>
  <si>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</si>
  <si>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</si>
  <si>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</si>
  <si>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</si>
  <si>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</si>
  <si>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</si>
  <si>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</si>
  <si>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</si>
  <si>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</si>
  <si>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</si>
  <si>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</si>
  <si>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</si>
  <si>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</si>
  <si>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</si>
  <si>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</si>
  <si>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</si>
  <si>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</si>
  <si>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</si>
  <si>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</si>
  <si>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</si>
  <si>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</si>
  <si>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</si>
  <si>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</si>
  <si>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</si>
  <si>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</si>
  <si>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</si>
  <si>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</si>
  <si>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</si>
  <si>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</si>
  <si>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</si>
  <si>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</si>
  <si>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</si>
  <si>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</si>
  <si>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</si>
  <si>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</si>
  <si>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</si>
  <si>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</si>
  <si>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</si>
  <si>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</si>
  <si>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</si>
  <si>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</si>
  <si>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</si>
  <si>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</si>
  <si>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</si>
  <si>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</si>
  <si>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</si>
  <si>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</si>
  <si>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</si>
  <si>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</si>
  <si>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</si>
  <si>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</si>
  <si>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</si>
  <si>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</si>
  <si>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</si>
  <si>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</si>
  <si>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</si>
  <si>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</si>
  <si>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</si>
  <si>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</si>
  <si>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</si>
  <si>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</si>
  <si>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</si>
  <si>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</si>
  <si>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</si>
  <si>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</si>
  <si>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</si>
  <si>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</si>
  <si>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</si>
  <si>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</si>
  <si>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</si>
  <si>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</si>
  <si>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</si>
  <si>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</si>
  <si>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IAM-27</t>
  </si>
  <si>
    <t>RISK-20</t>
  </si>
  <si>
    <t>Do you provide inspection process documents for the utility to receive equipment?</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</si>
  <si>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</si>
  <si>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</si>
  <si>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</si>
  <si>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</si>
  <si>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</si>
  <si>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</si>
  <si>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</si>
  <si>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</si>
  <si>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</si>
  <si>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</si>
  <si>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</si>
  <si>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</si>
  <si>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</si>
  <si>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</si>
  <si>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</si>
  <si>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</si>
  <si>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</si>
  <si>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</si>
  <si>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</si>
  <si>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</si>
  <si>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</si>
  <si>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</si>
  <si>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</si>
  <si>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</si>
  <si>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</si>
  <si>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</si>
  <si>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</si>
  <si>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</si>
  <si>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</si>
  <si>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</si>
  <si>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</si>
  <si>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</si>
  <si>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</si>
  <si>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</si>
  <si>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</si>
  <si>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</si>
  <si>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</si>
  <si>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</si>
  <si>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</si>
  <si>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</si>
  <si>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</si>
  <si>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</si>
  <si>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</si>
  <si>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</si>
  <si>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</si>
  <si>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</si>
  <si>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</si>
  <si>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</si>
  <si>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</si>
  <si>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</si>
  <si>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</si>
  <si>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</si>
  <si>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</si>
  <si>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</si>
  <si>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</si>
  <si>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</si>
  <si>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</si>
  <si>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</si>
  <si>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</si>
  <si>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</si>
  <si>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</si>
  <si>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</si>
  <si>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</si>
  <si>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</si>
  <si>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</si>
  <si>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</si>
  <si>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</si>
  <si>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</si>
  <si>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</si>
  <si>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</si>
  <si>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</si>
  <si>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</si>
  <si>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</si>
  <si>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</si>
  <si>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</si>
  <si>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</si>
  <si>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</si>
  <si>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</si>
  <si>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</si>
  <si>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</si>
  <si>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</si>
  <si>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</si>
  <si>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</si>
  <si>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</si>
  <si>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</si>
  <si>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</si>
  <si>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</si>
  <si>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</si>
  <si>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</si>
  <si>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</si>
  <si>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</si>
  <si>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</si>
  <si>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</si>
  <si>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</si>
  <si>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</si>
  <si>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</si>
  <si>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</si>
  <si>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</si>
  <si>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</si>
  <si>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</si>
  <si>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</si>
  <si>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</si>
  <si>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Primary (48)</t>
  </si>
  <si>
    <t>Primary (23)</t>
  </si>
  <si>
    <t>Supports (23, 59)</t>
  </si>
  <si>
    <t>Primary (39)</t>
  </si>
  <si>
    <t>Supports (55)</t>
  </si>
  <si>
    <t>Supports (4)</t>
  </si>
  <si>
    <t>Primary (3)</t>
  </si>
  <si>
    <t xml:space="preserve"> Represents 13</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</si>
  <si>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</si>
  <si>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</si>
  <si>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</si>
  <si>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</si>
  <si>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</si>
  <si>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</si>
  <si>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</si>
  <si>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</si>
  <si>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</si>
  <si>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</si>
  <si>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</si>
  <si>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</si>
  <si>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</si>
  <si>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</si>
  <si>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</si>
  <si>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</si>
  <si>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</si>
  <si>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</si>
  <si>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</si>
  <si>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</si>
  <si>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</si>
  <si>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</si>
  <si>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</si>
  <si>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</si>
  <si>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</si>
  <si>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</si>
  <si>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</si>
  <si>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</si>
  <si>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</si>
  <si>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</si>
  <si>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</si>
  <si>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</si>
  <si>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</si>
  <si>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</si>
  <si>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</si>
  <si>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</si>
  <si>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</si>
  <si>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</si>
  <si>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</si>
  <si>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</si>
  <si>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</si>
  <si>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</si>
  <si>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</si>
  <si>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</si>
  <si>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</si>
  <si>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</si>
  <si>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</si>
  <si>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</si>
  <si>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</si>
  <si>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</si>
  <si>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</si>
  <si>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</si>
  <si>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</si>
  <si>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</si>
  <si>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</si>
  <si>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</si>
  <si>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</si>
  <si>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</si>
  <si>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</si>
  <si>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</si>
  <si>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</si>
  <si>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</si>
  <si>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</si>
  <si>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</si>
  <si>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</si>
  <si>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</si>
  <si>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</si>
  <si>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</si>
  <si>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</si>
  <si>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</si>
  <si>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</si>
  <si>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</si>
  <si>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</si>
  <si>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</si>
  <si>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</si>
  <si>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</si>
  <si>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</si>
  <si>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</si>
  <si>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</si>
  <si>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</si>
  <si>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</si>
  <si>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</si>
  <si>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</si>
  <si>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</si>
  <si>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</si>
  <si>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</si>
  <si>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</si>
  <si>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</si>
  <si>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</si>
  <si>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</si>
  <si>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</si>
  <si>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</si>
  <si>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</si>
  <si>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</si>
  <si>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</si>
  <si>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</si>
  <si>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</si>
  <si>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</si>
  <si>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</si>
  <si>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</si>
  <si>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</si>
  <si>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</si>
  <si>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</si>
  <si>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</si>
  <si>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</si>
  <si>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</si>
  <si>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</si>
  <si>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</si>
  <si>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</si>
  <si>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</si>
  <si>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</si>
  <si>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</si>
  <si>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</si>
  <si>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</si>
  <si>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</si>
  <si>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</si>
  <si>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</si>
  <si>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</si>
  <si>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</si>
  <si>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</si>
  <si>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</si>
  <si>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</si>
  <si>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</si>
  <si>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</si>
  <si>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</si>
  <si>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</si>
  <si>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</si>
  <si>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</si>
  <si>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</si>
  <si>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</si>
  <si>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</si>
  <si>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</si>
  <si>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</si>
  <si>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</si>
  <si>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</si>
  <si>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</si>
  <si>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</si>
  <si>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</si>
  <si>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</si>
  <si>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</si>
  <si>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</si>
  <si>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Are employees allowed to take utility's data out of the computing system in any form?</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</si>
  <si>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</si>
  <si>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</si>
  <si>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</si>
  <si>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</si>
  <si>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</si>
  <si>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</si>
  <si>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</si>
  <si>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</si>
  <si>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</si>
  <si>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</si>
  <si>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</si>
  <si>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</si>
  <si>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</si>
  <si>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</si>
  <si>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</si>
  <si>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</si>
  <si>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</si>
  <si>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</si>
  <si>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</si>
  <si>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</si>
  <si>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</si>
  <si>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</si>
  <si>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</si>
  <si>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</si>
  <si>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</si>
  <si>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</si>
  <si>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</si>
  <si>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</si>
  <si>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</si>
  <si>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</si>
  <si>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</si>
  <si>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</si>
  <si>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</si>
  <si>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</si>
  <si>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</si>
  <si>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</si>
  <si>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</si>
  <si>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</si>
  <si>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</si>
  <si>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</si>
  <si>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</si>
  <si>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</si>
  <si>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Do you monitor for intrusions on a 24x7x365 basis with 24x7 response and evaluation?</t>
  </si>
  <si>
    <t>DATA-26</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</si>
  <si>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</si>
  <si>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</si>
  <si>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</si>
  <si>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</si>
  <si>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</si>
  <si>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Do you have a process by which you will notify purchaser when production and/or operation of products and/or services changes to another supplier or location?</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</si>
  <si>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</si>
  <si>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</si>
  <si>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</si>
  <si>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</si>
  <si>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</si>
  <si>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</si>
  <si>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</si>
  <si>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</si>
  <si>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</si>
  <si>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Does your information protection program prohibit access to purchaser's data without authorization?</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</si>
  <si>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</si>
  <si>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</si>
  <si>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</si>
  <si>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</si>
  <si>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</si>
  <si>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</si>
  <si>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</si>
  <si>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Is utility unstructured data (e.g., file shares) encrypted?</t>
  </si>
  <si>
    <t>Answer</t>
  </si>
  <si>
    <t>Weight</t>
  </si>
  <si>
    <t>Score</t>
  </si>
  <si>
    <t>Total Score</t>
  </si>
  <si>
    <t>Category Score</t>
  </si>
  <si>
    <t>Historical versions are available at www.natf.net/industry-initiatives/supply-chain-industry-coordination.</t>
  </si>
  <si>
    <t>Annual revision for 2021</t>
  </si>
  <si>
    <t>Annual revision for 2022</t>
  </si>
  <si>
    <t>Annual revision for 2023</t>
  </si>
  <si>
    <t>Redline versions are available at www.natf.net/industry-initiatives/supply-chain-industry-coordination.</t>
  </si>
  <si>
    <t>Change Log</t>
  </si>
  <si>
    <t xml:space="preserve">Provide the findings reports from third-party verifications conducted for cybersecurity frameworks (provide the two most recent reports for each cybersecurity framework). </t>
  </si>
  <si>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</si>
  <si>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t>Controlled Unclassified Information (CUI) (Defined term at https://www.ferc.gov/cui)</t>
  </si>
  <si>
    <t>IAM-16.1</t>
  </si>
  <si>
    <t>Do you have a policy that prohibits the use of shared accounts and/or shared credentials?</t>
  </si>
  <si>
    <t>Number of Contractors In Countries Other than the United States or Canada</t>
  </si>
  <si>
    <r>
      <t xml:space="preserve">Added note to General Information section
Updated use of </t>
    </r>
    <r>
      <rPr>
        <i/>
        <sz val="11"/>
        <rFont val="Calibri"/>
        <family val="2"/>
        <scheme val="minor"/>
      </rPr>
      <t xml:space="preserve">entity, utility, customer, </t>
    </r>
    <r>
      <rPr>
        <sz val="11"/>
        <rFont val="Calibri"/>
        <family val="2"/>
        <scheme val="minor"/>
      </rPr>
      <t>and</t>
    </r>
    <r>
      <rPr>
        <i/>
        <sz val="11"/>
        <rFont val="Calibri"/>
        <family val="2"/>
        <scheme val="minor"/>
      </rPr>
      <t xml:space="preserve"> purchaser</t>
    </r>
    <r>
      <rPr>
        <sz val="11"/>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</si>
  <si>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rFont val="Calibri"/>
        <family val="2"/>
        <scheme val="minor"/>
      </rPr>
      <t xml:space="preserve">data
</t>
    </r>
    <r>
      <rPr>
        <sz val="11"/>
        <rFont val="Calibri"/>
        <family val="2"/>
        <scheme val="minor"/>
      </rPr>
      <t>Added reference to Revision Process in General Information section</t>
    </r>
    <r>
      <rPr>
        <i/>
        <sz val="11"/>
        <rFont val="Calibri"/>
        <family val="2"/>
        <scheme val="minor"/>
      </rPr>
      <t xml:space="preserve">
</t>
    </r>
    <r>
      <rPr>
        <sz val="11"/>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</si>
  <si>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The term "data" used throughout the tool 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The scoring option provides utilities with a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 should not be relied upon as the singular determinant for procurement, risk, or other decisions, and should be used in conjunction with all existing processes that address those areas. 
For additional information, see the NATF Supply Chain Security Assessment Model. For details regarding annual revisions and timelines, see and the Revision Process for the Energy Sector Supply Chain Risk Questionnaire and NATF Supply Chain Security Criteria at www.natf.net/industry-initiatives/supply-chain-industry-coordination. </t>
  </si>
  <si>
    <t>Provide a list of countries in which supplier operates (has an office, sells product, or conducts any business) and describe activities conducted in each.</t>
  </si>
  <si>
    <t>Provide a list of countries in which supplier's product (i.e., hardware, software, firmware, or components) is manufactured or developed and describe activities conducted in each.</t>
  </si>
  <si>
    <t>Provide a list of countries in which supplier's product (i.e., hardware, software, firmware, or components) is assembled and describe activities conducted in each.</t>
  </si>
  <si>
    <t>Do you have controls in place to prevent unauthorized access to any other system through supplier's connection to other systems (i.e., no path or bridge)?</t>
  </si>
  <si>
    <t>Are user account passwords/passphrases/credentials encrypted when in transit and at rest?</t>
  </si>
  <si>
    <t>Do you digitally sign, validate, and provide a way for entities to validate software, patches, and firmware prior to distribution?</t>
  </si>
  <si>
    <t>Are processes in place to handle utility data in both a CUI and a CEII compliant manner?</t>
  </si>
  <si>
    <t>Is the service hosted in a high-availability environment (i.e., redundant power, hardware, software, and network accessibility; no single point of failure)?</t>
  </si>
  <si>
    <t>Does your product or service employ encryption technologies (e.g., SSH, SSL/TLS, VPN) when transmitting sensitive information over TCP/IP networks (e.g., system-to-system and system-to-client)?</t>
  </si>
  <si>
    <t>Are controls in place to ensure that your systems and/or processes prohibit/limit the use of external storage and removable media?</t>
  </si>
  <si>
    <t>Does your company have a Cyber Security Incident response plan/process, including when notification would be provided to purchaser?</t>
  </si>
  <si>
    <t>Does your Cyber Security Incident response plan contain a requirement to notify purchasers of the impacted products or services within 24 hours of initiation of your plan?</t>
  </si>
  <si>
    <t>Does your Cyber Security Incident response plan include a requirement to perform an after-action review, demonstrate corrective actions (e.g., lessons learned), and update your plan accordingly?</t>
  </si>
  <si>
    <t>Do you review and update your Cyber Security Incident response plan at least annually?</t>
  </si>
  <si>
    <t>Have you taken appropriate action in response to assessment(s) of your Cyber Security Incident response plan/process?</t>
  </si>
  <si>
    <t>Does your Cyber Security Incident response plan contain clear roles and responsibilities that include coordination of responses to your purchaser(s)?</t>
  </si>
  <si>
    <t>Does your Cyber Security Incident response plan contain steps to identify, contain, eradicate, and recover?</t>
  </si>
  <si>
    <t>Do you have up-to-date antimalware on all end nodes?</t>
  </si>
  <si>
    <t>Does your cybersecurity program conform with a specific industry standard security framework (e.g., NIST Cybersecurity Framework, ISO 27001, etc.)?</t>
  </si>
  <si>
    <t>Do you have a process to remediate any security risks identified by purchaser, their representative, or any industry-recognized vulnerability research or assessment organization within a pre-negotiated timeframe?</t>
  </si>
  <si>
    <t>Do you allow third parties to perform security testing of your systems and/or application provided that testing is performed at a mutually agreed upon time and date?</t>
  </si>
  <si>
    <t>Step 1: Complete each section answering each set of questions. Do NOT provide values in the Answer, Weight, or Score columns - they should remain blank.
Step 2: Submit the completed Energy Sector Supply Chain Risk Questionnaire to the utility according to utility's procedures.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Abbreviations and definitions are provided in the NATF Supply Chain Security Criteria.  Defined terms can be found in the NERC Glossary of Terms on the NERC Standards Program Area website or directly at https://www.nerc.com/pa/Stand/Glossary%20of%20Terms/Glossary_of_Terms.pdf.</t>
  </si>
  <si>
    <t>Annual revision for 2024</t>
  </si>
  <si>
    <t>Copyright © 2024 North American Transmission Forum, Inc.</t>
  </si>
  <si>
    <t>If this is not universally Yes or No, please identify for which subset (software, patches, or firmware) signing &amp; validation occurs.</t>
  </si>
  <si>
    <t>Copyright © 2024 North American Transmission Forum (“NATF”). All rights reserved. The NATF permits the use of the content contained herein (“Content”) without modification; however, any such use must include this notice and reference the associated NATF document name and version number. The Content is provided on an “as is” basis. The NATF makes no and hereby disclaims all representations or warranties, either express or implied, relating to the Content. No liability is assumed by the NATF for any damages arising directly or indirectly from the Content or use thereof. Use of the Content constitutes agreement to defend, indemnify, and hold the NATF harmless from and against all claims arising from such use.</t>
  </si>
  <si>
    <t xml:space="preserve">CIP-013-2 </t>
  </si>
  <si>
    <t>CIP-005-7</t>
  </si>
  <si>
    <t xml:space="preserve">CIP-010-4 </t>
  </si>
  <si>
    <t>NIST SP 800-161r1</t>
  </si>
  <si>
    <t>NIST SP 800-53r5</t>
  </si>
  <si>
    <t>NIST SP 800-171r2</t>
  </si>
  <si>
    <t>Cybersecurity Framework Version 1.1</t>
  </si>
  <si>
    <t>NIST</t>
  </si>
  <si>
    <t>IEC 62443</t>
  </si>
  <si>
    <t>62443-1-1:2009
62443-2-1:2010
62443-2-3:2015
62443-2-4:2017
62443-3-1:2009
62443-3-2:2020
62443-3-3:2013
62443‑4‑1:2018
62443-4-2:2019</t>
  </si>
  <si>
    <t>2-1 4.3.2.5
(no specific mention on M&amp;A)</t>
  </si>
  <si>
    <t>ISO 27001</t>
  </si>
  <si>
    <t>ISO/IEC 27001:2022</t>
  </si>
  <si>
    <t>SOC 2 / SOC for Supply Chain
/ SOC for Cybersecurity</t>
  </si>
  <si>
    <t>A.1.5.22</t>
  </si>
  <si>
    <t>A1.5.2</t>
  </si>
  <si>
    <t>2017 Trust Services Criteria</t>
  </si>
  <si>
    <t>CC2.3</t>
  </si>
  <si>
    <t>CC9.1</t>
  </si>
  <si>
    <t>R1.2.5</t>
  </si>
  <si>
    <t>R1.1.6</t>
  </si>
  <si>
    <t>Supports
R1.2.4</t>
  </si>
  <si>
    <t>R3.3.2
R3.3.3</t>
  </si>
  <si>
    <t>SR-6</t>
  </si>
  <si>
    <t>ID.SC-4</t>
  </si>
  <si>
    <t>A.1.5.21
A.1.5.23</t>
  </si>
  <si>
    <t>CC9.2</t>
  </si>
  <si>
    <t>SC-8</t>
  </si>
  <si>
    <t>SR-8</t>
  </si>
  <si>
    <t>ID.SC-3</t>
  </si>
  <si>
    <t>A.1.5.20</t>
  </si>
  <si>
    <t>MP-4</t>
  </si>
  <si>
    <t>3.8.1</t>
  </si>
  <si>
    <t>PR.AC-2</t>
  </si>
  <si>
    <t>2-1 4.3.3.3.2</t>
  </si>
  <si>
    <t>A.1.7.8</t>
  </si>
  <si>
    <t>CC6.4</t>
  </si>
  <si>
    <t>PR.DS-6</t>
  </si>
  <si>
    <t>3-3 SR 3.4
4-1 SM-6</t>
  </si>
  <si>
    <t>A.1.5.19</t>
  </si>
  <si>
    <t>SI-2
SI-7</t>
  </si>
  <si>
    <t>3.11.2</t>
  </si>
  <si>
    <t>PR.DS-6
PR.DS-8</t>
  </si>
  <si>
    <t>3-3 SR 3.3
3-3 SR 3.4
4-1 SM-9
4-1 SM-12</t>
  </si>
  <si>
    <t>A.1.8.8</t>
  </si>
  <si>
    <t>CC7.1</t>
  </si>
  <si>
    <t>PE-16</t>
  </si>
  <si>
    <t>PR.DS-3</t>
  </si>
  <si>
    <t>2-1 4.3.3.3.9
2-4 SP.02.01</t>
  </si>
  <si>
    <t>A.1.7.9
A.1.7.10</t>
  </si>
  <si>
    <t>PI1.4</t>
  </si>
  <si>
    <t>SR-4</t>
  </si>
  <si>
    <t>3-3 SR 3.4
4-1 SM-3
4-1 SM-9</t>
  </si>
  <si>
    <t>PI1.2</t>
  </si>
  <si>
    <t>PR.DS-5</t>
  </si>
  <si>
    <t>2-1 4.3.4.4.2</t>
  </si>
  <si>
    <t>A.1.5.14
A.1.5.20</t>
  </si>
  <si>
    <t>P6.1</t>
  </si>
  <si>
    <t>RA-5</t>
  </si>
  <si>
    <t>DE.CM-8</t>
  </si>
  <si>
    <t>2-1 4.2.3.7
2-4 SP 02.02
3-2 ZCR 5.2
4-1 SVV-3</t>
  </si>
  <si>
    <t>PT-1</t>
  </si>
  <si>
    <t>R1.2.3</t>
  </si>
  <si>
    <t>R2.2.5</t>
  </si>
  <si>
    <t>R2.2.4</t>
  </si>
  <si>
    <t>PS-3</t>
  </si>
  <si>
    <t>3.9.1</t>
  </si>
  <si>
    <t>PR.IP-11</t>
  </si>
  <si>
    <t>A.1.6.1</t>
  </si>
  <si>
    <t>CC1.4</t>
  </si>
  <si>
    <t xml:space="preserve">
PR.IP-11
</t>
  </si>
  <si>
    <t>2-1 4.3.3.2.3
2-4 SP.01.04</t>
  </si>
  <si>
    <t>2-1 4.3.3.2.1
2-1 4.3.3.2.2
2-1 4.3.3.2.3
2-4 SP.01.04</t>
  </si>
  <si>
    <t>AC-2
AC-3</t>
  </si>
  <si>
    <t>AC-2
AC-3
PS-4</t>
  </si>
  <si>
    <t>3.1.1
3.1.2</t>
  </si>
  <si>
    <t>PR.AC-1</t>
  </si>
  <si>
    <t>3-3 SR 1.3</t>
  </si>
  <si>
    <t>A.1.5.18</t>
  </si>
  <si>
    <t>CC6.3</t>
  </si>
  <si>
    <t>AC-3</t>
  </si>
  <si>
    <t>PS-4
PS-5</t>
  </si>
  <si>
    <t>3.9.2</t>
  </si>
  <si>
    <t>2-1 4.3.3.5.5
3-3 SR 1.3</t>
  </si>
  <si>
    <t>A.1.5.18
A.1.6.5</t>
  </si>
  <si>
    <t>CC6.2</t>
  </si>
  <si>
    <t>SA-3</t>
  </si>
  <si>
    <t>PR.IP-2</t>
  </si>
  <si>
    <t>2-1 4.3.4.3.4
4-1 SM-1</t>
  </si>
  <si>
    <t>A.1.8.25
A.1.8.28</t>
  </si>
  <si>
    <t>CC8.1</t>
  </si>
  <si>
    <t>SA-16</t>
  </si>
  <si>
    <t>3.2.2</t>
  </si>
  <si>
    <t>PR.AT-1</t>
  </si>
  <si>
    <t>2-1 4.3.2.4.1
4-1 SM-4</t>
  </si>
  <si>
    <t>A.1.6.3</t>
  </si>
  <si>
    <t>CC2.1</t>
  </si>
  <si>
    <t>PS-6</t>
  </si>
  <si>
    <t>2-4 SP.01.03</t>
  </si>
  <si>
    <t>A.1.6.2
A.1.6.6</t>
  </si>
  <si>
    <t>CC5.3</t>
  </si>
  <si>
    <t>AT-2</t>
  </si>
  <si>
    <t>3.2.1</t>
  </si>
  <si>
    <t>2-1 4.3.2.4.1
2-4 SP.01.01</t>
  </si>
  <si>
    <t>CC2.2</t>
  </si>
  <si>
    <t>R2.2.3</t>
  </si>
  <si>
    <t>R4.1.5</t>
  </si>
  <si>
    <t>R1.1.2</t>
  </si>
  <si>
    <t>R4.1.2
R4.3.1</t>
  </si>
  <si>
    <t>R2.2.1</t>
  </si>
  <si>
    <t>R1.2.6</t>
  </si>
  <si>
    <t>AC-2
IA-2</t>
  </si>
  <si>
    <t>2-1 4.3.3.5.1
3-3 SR 1.3
3-3 SR 1.4</t>
  </si>
  <si>
    <t>A.1.5.15
A.1.5.16</t>
  </si>
  <si>
    <t>CC6.1</t>
  </si>
  <si>
    <t>IA-2</t>
  </si>
  <si>
    <t>3.5.3
3.7.5</t>
  </si>
  <si>
    <t>PR.AC-7</t>
  </si>
  <si>
    <t>2-1 4.3.3.6.3
3-3 SR 1.1
3-3 SR 1.1
4-2 CR 1.1</t>
  </si>
  <si>
    <t>A.1.8.5</t>
  </si>
  <si>
    <t>AC-2
AC-24</t>
  </si>
  <si>
    <t>2-1 4.3.3.5.3
3-3 SR 1.3</t>
  </si>
  <si>
    <t>A.1.5.15
A.1.5.18</t>
  </si>
  <si>
    <t>AC-2</t>
  </si>
  <si>
    <t>3.1.1
3.5.1</t>
  </si>
  <si>
    <t>2-1 4.3.3.5.4
3-3 SR 1.3
3-3 SR 1.4</t>
  </si>
  <si>
    <t>2-1 4.3.3.5.6
3-3 SR 1.3</t>
  </si>
  <si>
    <t>CC6.2
CC6.4</t>
  </si>
  <si>
    <t>AC‑17</t>
  </si>
  <si>
    <t>AC-17</t>
  </si>
  <si>
    <t>3.1.12</t>
  </si>
  <si>
    <t>PR.AC-3</t>
  </si>
  <si>
    <t>2-1 4.3.3.6.6
2-4 SP.07.01</t>
  </si>
  <si>
    <t>A.1.6.7</t>
  </si>
  <si>
    <t>2-1 4.3.3.6.5
2-4 SP.07.04</t>
  </si>
  <si>
    <t>PR.PT-4</t>
  </si>
  <si>
    <t>AC-12
AC‑17
SC-10</t>
  </si>
  <si>
    <t>3.1.11
3.13.9</t>
  </si>
  <si>
    <t>2-1 4.3.3.6.8
2-4 SP.07.02
3-3 SR 2.6
4-2 CR 2.6</t>
  </si>
  <si>
    <t>AC-4
SC-7</t>
  </si>
  <si>
    <t>3.1.3
3.13.7</t>
  </si>
  <si>
    <t>2-4 SP.03.02
3-3 SR 5.2</t>
  </si>
  <si>
    <t>A.1.8.3</t>
  </si>
  <si>
    <t>CC6.6</t>
  </si>
  <si>
    <t>IA-5</t>
  </si>
  <si>
    <t>3.5.8</t>
  </si>
  <si>
    <t>2-1 4.3.3.6.3
2-4 SP.09.06
3-3 SR 1.7
4-2 CR 1.7</t>
  </si>
  <si>
    <t>3.5.7</t>
  </si>
  <si>
    <t>2-1 4.3.3.6.3
2-4 SP.09.05
3-3 SR 1.7
4-2 CR 1.5</t>
  </si>
  <si>
    <t>3.5.1</t>
  </si>
  <si>
    <t>PR.AC-6</t>
  </si>
  <si>
    <t>A.1.5.16</t>
  </si>
  <si>
    <t>SC-28</t>
  </si>
  <si>
    <t>IA-5
SC-28</t>
  </si>
  <si>
    <t>3.5.10</t>
  </si>
  <si>
    <t>PR.DS-1
PR.DS-2</t>
  </si>
  <si>
    <t>2-4 SP.03.08
3-3 SR 1.5
4-2 CR 4.3</t>
  </si>
  <si>
    <t>A.1.8.24</t>
  </si>
  <si>
    <t>CC6.1
CC6.7</t>
  </si>
  <si>
    <t>IA-2
IA-5</t>
  </si>
  <si>
    <t>2-1 4.3.3.6.3
3-3 SR 1.1
4-2 CR 1.1</t>
  </si>
  <si>
    <t>AU-2
AU-3</t>
  </si>
  <si>
    <t>AU-2
AU-3
AU-6</t>
  </si>
  <si>
    <t>3.3.3</t>
  </si>
  <si>
    <t>DE.AE-3</t>
  </si>
  <si>
    <t>3-3 SR 6.1</t>
  </si>
  <si>
    <t>A.1.8.15</t>
  </si>
  <si>
    <t>CC7.2</t>
  </si>
  <si>
    <t>PR.AC-1
PR.AC-4</t>
  </si>
  <si>
    <t>2-1 4.3.3.7.3
2-4 SP.03.08
3-3 SR 1.1
3-3 SR 1.3</t>
  </si>
  <si>
    <t>A.1.5.15</t>
  </si>
  <si>
    <t>AC-6</t>
  </si>
  <si>
    <t>3.1.5</t>
  </si>
  <si>
    <t>PR.AC-4</t>
  </si>
  <si>
    <t>2-4 SP.09.02
3-3 SR 2.1
4-1 SG-6
4-2 CR 2.1</t>
  </si>
  <si>
    <t>A.1.8.2</t>
  </si>
  <si>
    <t>AC-1
AC-6</t>
  </si>
  <si>
    <t>2-4 SP.09.01
3-3 SR 1.3
4-1 SG-6
4-2 CR 1.3</t>
  </si>
  <si>
    <t>2-1 4.3.3.5.1
2-1 4.3.3.5.6
3-3 SR 1.3</t>
  </si>
  <si>
    <t>2-1 4.3.3.5.2
2-4 SP.09.02
3-3 SR 1.3
3-3 SR 1.4</t>
  </si>
  <si>
    <t>2-1 4.3.3.2.2</t>
  </si>
  <si>
    <t>2-1 4.3.3.2.2
2-4 SP.01.04</t>
  </si>
  <si>
    <t>R1.1.2
R1.1.6</t>
  </si>
  <si>
    <t>R1.2.1</t>
  </si>
  <si>
    <t>R4.1.1</t>
  </si>
  <si>
    <t>CP-2</t>
  </si>
  <si>
    <t>PR.IP-9</t>
  </si>
  <si>
    <t>2-1 4.3.2.5</t>
  </si>
  <si>
    <t>A.1.5.30</t>
  </si>
  <si>
    <t>CC7.5</t>
  </si>
  <si>
    <t>CP-4</t>
  </si>
  <si>
    <t>PR.IP-10</t>
  </si>
  <si>
    <t>2-1 4.3.2.5.7</t>
  </si>
  <si>
    <t>A1.3</t>
  </si>
  <si>
    <t>ID.GV-3</t>
  </si>
  <si>
    <t>A.1.5.34</t>
  </si>
  <si>
    <t>P1.1</t>
  </si>
  <si>
    <t>2-1 4.2.3.5</t>
  </si>
  <si>
    <t>MP-1</t>
  </si>
  <si>
    <t>3.7.3
3.8.3</t>
  </si>
  <si>
    <t>PR.DS-3
PR.IP-6</t>
  </si>
  <si>
    <t>2-1 4.3.4.4.4
2-4 SP.03.10</t>
  </si>
  <si>
    <t>A.1.7.10
A.1.7.14</t>
  </si>
  <si>
    <t>CC6.5
C1.2</t>
  </si>
  <si>
    <t>MP-6</t>
  </si>
  <si>
    <t>MP-6
SI-12</t>
  </si>
  <si>
    <t>3.8.3</t>
  </si>
  <si>
    <t>PR.IP-6</t>
  </si>
  <si>
    <t>2-1 4.3.3.3.9
2-1 4.3.4.4.4</t>
  </si>
  <si>
    <t>A.1.7.14
A.1.8.10</t>
  </si>
  <si>
    <t>CC6.5
C1.2
P4.3</t>
  </si>
  <si>
    <t>CA-2</t>
  </si>
  <si>
    <t>2-4 SP.02.01
3-2 ZCR 5</t>
  </si>
  <si>
    <t>A.1.5.22
A.1.5.35</t>
  </si>
  <si>
    <t>CC3.1
CC3.2</t>
  </si>
  <si>
    <t>CM-3
SI-7</t>
  </si>
  <si>
    <t>3.4.3
3.4.4
3.4.5</t>
  </si>
  <si>
    <t>PR.DS-6
PR.DS-7
PR.DS-8
PR.IP-2
PR.IP-3</t>
  </si>
  <si>
    <t>2-1 4.3.4.3
2-3 B.5.5
2-4 SP.02.01
2-4 SP.11.06
4-1 SM-6</t>
  </si>
  <si>
    <t>A.1.8.25
A.1.8.29
A.1.8.31
A.1.8.33</t>
  </si>
  <si>
    <t>CC7.1
CC8.1</t>
  </si>
  <si>
    <t>SI-7</t>
  </si>
  <si>
    <t>2-3 B.7.5
3-3 SR 1.9
4-1 SM-12
4-2 CR 1.9</t>
  </si>
  <si>
    <t>SC-1
PL-2</t>
  </si>
  <si>
    <t>SC-1
PL-2
PM-1</t>
  </si>
  <si>
    <t>3.13.16
3.14.7</t>
  </si>
  <si>
    <t>PR.DS-1
PR.DS-6
PR.DS-8</t>
  </si>
  <si>
    <t>2-4 SP.03.10 RE(3)
3-3 SR 3.4
3-3 SR 4.1
4-2 CR 3.4
4-2 CR 4.1</t>
  </si>
  <si>
    <t>A.1.5.1
A.1.8.3
A.1.8.11
A.1.8.24</t>
  </si>
  <si>
    <t>CC6.1
CC6.6
CC6.7</t>
  </si>
  <si>
    <t>IR-6</t>
  </si>
  <si>
    <t>3.6.1
3.6.2</t>
  </si>
  <si>
    <t>RS.CO-2
RS.CO-3</t>
  </si>
  <si>
    <t>2-1 4.3.4.5.9
2-4 SP.08.01</t>
  </si>
  <si>
    <t>CC7.4</t>
  </si>
  <si>
    <t>2-1 4.3.4.3.9
2-4 SP.12.09</t>
  </si>
  <si>
    <t>PL-2</t>
  </si>
  <si>
    <t>ID.GV-1</t>
  </si>
  <si>
    <t>A.1.5.1</t>
  </si>
  <si>
    <t>SI-12</t>
  </si>
  <si>
    <t>2-4 SP.03.10 RE(2)</t>
  </si>
  <si>
    <t>A.1.7.10</t>
  </si>
  <si>
    <t>P4.2</t>
  </si>
  <si>
    <t>2-1 4.3.4.4.4
2-4 SP.03.10 RE(2)</t>
  </si>
  <si>
    <t>CM-8
PM-5</t>
  </si>
  <si>
    <t>3.4.1</t>
  </si>
  <si>
    <t>ID.AM-1
ID.AM-2</t>
  </si>
  <si>
    <t>2-4 SP.06.02</t>
  </si>
  <si>
    <t>A.1.5.9</t>
  </si>
  <si>
    <t>R1
R2</t>
  </si>
  <si>
    <t>R4.1.3
R4.2.1</t>
  </si>
  <si>
    <t>R1.1.1</t>
  </si>
  <si>
    <t>CM-1
CM-3</t>
  </si>
  <si>
    <t>3.4.3</t>
  </si>
  <si>
    <t>PR.IP-3</t>
  </si>
  <si>
    <t>2-1 4.3.4.3.2
2-3 B.8.2</t>
  </si>
  <si>
    <t>A.1.8.32</t>
  </si>
  <si>
    <t>CM-3</t>
  </si>
  <si>
    <t>3-3 SR 3.3
3-3 SR 3.4
4-1 SM-1
4-2 CR 3.3
4-2 CR 3.4</t>
  </si>
  <si>
    <t>A.1.8.25</t>
  </si>
  <si>
    <t>SI-2</t>
  </si>
  <si>
    <t>3.14.1</t>
  </si>
  <si>
    <t>PR.IP-12
RS.MI-3</t>
  </si>
  <si>
    <t>2-1 4.3.4.3.7
2-3 B.7.1
2-4 SP.11.02
4-1 SUM-5</t>
  </si>
  <si>
    <t>CC7.1
CC7.5
CC8.1</t>
  </si>
  <si>
    <t>CM-7</t>
  </si>
  <si>
    <t>3.4.7</t>
  </si>
  <si>
    <t>PR.IP-1</t>
  </si>
  <si>
    <t>2-4 SP.02.03 BR</t>
  </si>
  <si>
    <t>CM-1
CM-2</t>
  </si>
  <si>
    <t>2-1 4.3.4.3.2
2-3 B.8.5
2-4 SP.02.03 BR
3-3 SR 7.6
4-1 SG-3
4-2 CR 7.6</t>
  </si>
  <si>
    <t>A.1.8.9</t>
  </si>
  <si>
    <t>CM-1</t>
  </si>
  <si>
    <t>3.4.1
3.4.2</t>
  </si>
  <si>
    <t>2-1 4.3.4.3.2
3-3 SR 7.6
4-2 CR 7.6</t>
  </si>
  <si>
    <t>CM-1
CM-9</t>
  </si>
  <si>
    <t>CM-4</t>
  </si>
  <si>
    <t>3.4.4</t>
  </si>
  <si>
    <t>2-1 4.3.4.3.2
2-1 4.3.4.3.3</t>
  </si>
  <si>
    <t>SI-1
SI-2</t>
  </si>
  <si>
    <t>2-1 4.3.4.3.7
2-3 Annex B
3-3 SR 7.4
2-4 SP.11.01
4-1 SUM-5</t>
  </si>
  <si>
    <t>CC7.5
CC8.1</t>
  </si>
  <si>
    <t>RS.MI-3</t>
  </si>
  <si>
    <t>2-4 SP.11.02</t>
  </si>
  <si>
    <t>R1.1.5</t>
  </si>
  <si>
    <t>3.8.1
3.13.16</t>
  </si>
  <si>
    <t>PR.DS-1</t>
  </si>
  <si>
    <t>2-4 SP.03.10
3-3 SR 4.1
4-2 CR 4.1</t>
  </si>
  <si>
    <t>PE-3</t>
  </si>
  <si>
    <t>3.10.1</t>
  </si>
  <si>
    <t>A.1.7.1</t>
  </si>
  <si>
    <t>PE-13</t>
  </si>
  <si>
    <t>PR.IP-5</t>
  </si>
  <si>
    <t>2-1 4.3.3.3.4</t>
  </si>
  <si>
    <t>A.1.7.5</t>
  </si>
  <si>
    <t>A1.2</t>
  </si>
  <si>
    <t>AC-5</t>
  </si>
  <si>
    <t>3.1.4</t>
  </si>
  <si>
    <t>2-1 4.3.3.7.3
3-3 SR 2.1
4-2 CR 2.1</t>
  </si>
  <si>
    <t>A.1.5.3</t>
  </si>
  <si>
    <t>CP-9</t>
  </si>
  <si>
    <t>3.8.9</t>
  </si>
  <si>
    <t>PR.IP-4</t>
  </si>
  <si>
    <t>2-1 4.3.4.3.9
3-3 SR 7.3
4-2 CR 7.3</t>
  </si>
  <si>
    <t>A.1.8.13</t>
  </si>
  <si>
    <t>SC-7</t>
  </si>
  <si>
    <t>3.13.1</t>
  </si>
  <si>
    <t>2-1 4.3.3.4
3-3 SR 5.2</t>
  </si>
  <si>
    <t>2-1 4.3.3.4
3-3 SR 5.2
2-4 SP.03.02 RE(2)</t>
  </si>
  <si>
    <t>A.1.8.20</t>
  </si>
  <si>
    <t>SI-4</t>
  </si>
  <si>
    <t>3.14.6</t>
  </si>
  <si>
    <t>3-3 SR 6.1
4-2 CR 6.1
2-4 SP.08.02</t>
  </si>
  <si>
    <t>CC6.6
CC7.2</t>
  </si>
  <si>
    <t>CM-2
SA-3</t>
  </si>
  <si>
    <t>PR.DS-7</t>
  </si>
  <si>
    <t>3-3 SR 5.1
4-2 CR 5.1</t>
  </si>
  <si>
    <t>A.1.8.22</t>
  </si>
  <si>
    <t>PE-3
SC-32</t>
  </si>
  <si>
    <t>PE-11</t>
  </si>
  <si>
    <t>PR.PT-5</t>
  </si>
  <si>
    <t>3-3 SR 7.5
4-2 CR 7.5</t>
  </si>
  <si>
    <t>A.1.7.11</t>
  </si>
  <si>
    <t>PE-9
PE-11</t>
  </si>
  <si>
    <t>2-1 4.3.3.3.10
3-3 SR 7.5</t>
  </si>
  <si>
    <t>2-1 4.3.3.3.10</t>
  </si>
  <si>
    <t>AC-19</t>
  </si>
  <si>
    <t>3.1.18
3.1.19</t>
  </si>
  <si>
    <t>2-1 4.3.3.6.6
3-3 SR 2.3</t>
  </si>
  <si>
    <t>CC6.7</t>
  </si>
  <si>
    <t>AC-5
SC-3</t>
  </si>
  <si>
    <t>2-1 4.3.3.2.7
3-3 SR 2.1
4-2 CR 2.1</t>
  </si>
  <si>
    <t>CC5.1
CC6.3</t>
  </si>
  <si>
    <t>SC-5</t>
  </si>
  <si>
    <t>DE.CM-1</t>
  </si>
  <si>
    <t>2-4 SP.08.04
3-3 SR 7.1
4-2 CR 7.1</t>
  </si>
  <si>
    <t>A.1.8.20
A.1.8.21</t>
  </si>
  <si>
    <t>R2.2.2</t>
  </si>
  <si>
    <t>R1.1.3
R2.2.2</t>
  </si>
  <si>
    <t>R4.1.2</t>
  </si>
  <si>
    <t xml:space="preserve">3.1.12
3.1.13
3.13.16
</t>
  </si>
  <si>
    <t>PR.AC-3
PR.DS-1
PR.DS-2</t>
  </si>
  <si>
    <t>2-4 SP.03.08 RE(2)
2-4 SP.03.10 BR
2-4 SP.07.04
3-3 SR 3.1
3-3 SR 3.4
3-3 SR 4.1
4-2 CR 3.1
4-2 CR 3.4
4-2 CR 4.1</t>
  </si>
  <si>
    <t>A.1.5.14
A.1.6.7
A.1.8.24</t>
  </si>
  <si>
    <t>3.13.16</t>
  </si>
  <si>
    <t>2-4 SP.03.08 RE(2)
2-4 SP.03.10
3-3 SR 3.4
3-3 SR 4.1
4-2 CR 3.4
4-2 CR 4.1</t>
  </si>
  <si>
    <t>A.1.8.3
A.1.8.24</t>
  </si>
  <si>
    <t xml:space="preserve">SC-8
</t>
  </si>
  <si>
    <t>SC-8
SC-12
SC-13</t>
  </si>
  <si>
    <t>3.8.6
3.13.8</t>
  </si>
  <si>
    <t>PR.DS-2</t>
  </si>
  <si>
    <t>2-4 SP.03.08 RE(2)
2-4 SP.03.10
3-3 SR 3.1
3-3 SR 4.1
3-3 SR 4.3
4-2 CR 3.1
4-2 CR 4.1
4-2 CR 4.3</t>
  </si>
  <si>
    <t>2-4 SP.03.10
3-3 SR 4.1
3-3 SR 4.3
4-2 CR 4.1
4-2 CR 4.3</t>
  </si>
  <si>
    <t>2-1 4.3.4.3.9
2-4 SP.12.01
3-3 SR 7.3
4-2 CR 7.3</t>
  </si>
  <si>
    <t>SC-12</t>
  </si>
  <si>
    <t>3.13.10</t>
  </si>
  <si>
    <t>2-4 SP.03.08 RE(2)
2-4 SP.03.10 RE(1)
3-3 SR 4.3
4-2 CR 4.3</t>
  </si>
  <si>
    <t>MP-1
SC-1
SI-1
SI-4
PM-1</t>
  </si>
  <si>
    <t>All SP 800-171</t>
  </si>
  <si>
    <t>ID.GV-1
PR.DS-5</t>
  </si>
  <si>
    <t>2-1 4.3.4.4.1
2-1 4.3.4.4.2
2-1 4.3.4.4.3
2-1 4.3.4.4.4</t>
  </si>
  <si>
    <t>A.1.5.1
A.1.5.8
A.1.5.12
A.1.5.13
A.1.5.33
A.1.6.6
A.1.8.3
A.1.8.12</t>
  </si>
  <si>
    <t>CC2.1
CC3.2
CC6.1
CC6.7
C1.1
P2.1
P4.2</t>
  </si>
  <si>
    <t>PM-11</t>
  </si>
  <si>
    <t>A.1.5.14
A.1.5.21</t>
  </si>
  <si>
    <t>CC2.1
CC3.1
CC6.7
C1.1</t>
  </si>
  <si>
    <t>3.1.1</t>
  </si>
  <si>
    <t>2-1 4.3.3.5.3
2-1 4.3.3.7.3
3-3 SR 2.1
4-2 CR 2.1</t>
  </si>
  <si>
    <t>CC6.1
CC6.2
CC6.3
CC6.4
CC6.6
CC6.7
C1.1</t>
  </si>
  <si>
    <t>SC-7
SC-8</t>
  </si>
  <si>
    <t>CP-9
SC-7
SC-8</t>
  </si>
  <si>
    <t>DE.CM-1
RS.RP-1
RS.MI-2
PR.DS-5</t>
  </si>
  <si>
    <t>2-1 4.3.4.5.6
2-1 4.3.4.5.10
2-4 SP.12.01
3-3 SR 5.2
3-3 SR 7.3
4-2 CR 5.2
4-2 CR 7.3</t>
  </si>
  <si>
    <t>A.1.8.12
A.1.8.13</t>
  </si>
  <si>
    <t>SI-1</t>
  </si>
  <si>
    <t>3.14.3</t>
  </si>
  <si>
    <t>DE.CM-1
PR.AC-5</t>
  </si>
  <si>
    <t>3-3 SR 6.2
4-2 CR 6.2
4-1 SM-6</t>
  </si>
  <si>
    <t>A.1.8.9
A.1.8.16</t>
  </si>
  <si>
    <t>CC6.6
CC7.1
CC7.2</t>
  </si>
  <si>
    <t>DE.CM-2</t>
  </si>
  <si>
    <t>2-1 4.3.3.3.8</t>
  </si>
  <si>
    <t>A.1.7.4</t>
  </si>
  <si>
    <t>3-3 SR 4.3
4-2 CR 4.3
2-4 SP.03.10</t>
  </si>
  <si>
    <t>3.1.13
3.13.8</t>
  </si>
  <si>
    <t>2-4 SP.07.04
3-3 SR 4.1
4-2 CR 4.1</t>
  </si>
  <si>
    <t>A.1.5.14
A.1.8.24</t>
  </si>
  <si>
    <t>PR.IP-4
PR.DS-1</t>
  </si>
  <si>
    <t>A.1.8.13
A.1.8.24</t>
  </si>
  <si>
    <t>3-3 SR 7.3
4-2 CR 7.3</t>
  </si>
  <si>
    <t>3.8.8</t>
  </si>
  <si>
    <t>PR.PT-2</t>
  </si>
  <si>
    <t>3-3 SR 2.3</t>
  </si>
  <si>
    <t>Supports (44, 45)</t>
  </si>
  <si>
    <t>R1.2.1
R1.2.2</t>
  </si>
  <si>
    <t>R1.2.2</t>
  </si>
  <si>
    <t>IR-6
IR-8</t>
  </si>
  <si>
    <t>PR.IP-9
RS.CO-2
RS.CO-3
RS.CO-4</t>
  </si>
  <si>
    <t>2-1 4.3.4.5.1
2-1 4.3.4.5.5
2-4 SP.08.01
4-1 DM-5</t>
  </si>
  <si>
    <t>A.1.5.24
A.1.5.26</t>
  </si>
  <si>
    <t>CC7.4
CC7.5</t>
  </si>
  <si>
    <t>3.6.2</t>
  </si>
  <si>
    <t>A.1.5.26
A.1.6.8</t>
  </si>
  <si>
    <t>2-1 4.3.4.5.5
2-1 4.3.4.5.9
2-4 SP.08.01
4-1 DM-5</t>
  </si>
  <si>
    <t>A.1.5.24
A.1.5.26
A.1.6.8</t>
  </si>
  <si>
    <t>CC7.4
CC7.5
CC9.2</t>
  </si>
  <si>
    <t>IR-4</t>
  </si>
  <si>
    <t>3.6.1</t>
  </si>
  <si>
    <t>RS.IM-1
RS.IM-2</t>
  </si>
  <si>
    <t>2-1 4.3.4.5.8
2-1 4.3.4.5.10
2-4 SP.08.01</t>
  </si>
  <si>
    <t>A.1.5.27</t>
  </si>
  <si>
    <t>IR-3</t>
  </si>
  <si>
    <t>3.6.3</t>
  </si>
  <si>
    <t>2-1 4.3.4.5.11</t>
  </si>
  <si>
    <t>A.1.5.24</t>
  </si>
  <si>
    <t>IR-8</t>
  </si>
  <si>
    <t>RS.IM-2</t>
  </si>
  <si>
    <t>2-4 SP.08.01
2-1 4.4.3.2</t>
  </si>
  <si>
    <t>A.1.5.27
A.1.5.35</t>
  </si>
  <si>
    <t>RS.CO-1</t>
  </si>
  <si>
    <t>2-1 4.3.2.6
2-1 4.3.4.5.4
2-4 SP.08.01</t>
  </si>
  <si>
    <t>IR-4
IR-8</t>
  </si>
  <si>
    <t>PR.IP-9
RS.MI-1
RS.MI-2
RC.RP-1</t>
  </si>
  <si>
    <t>2-4 SP.08.01
2-1 4.3.4.5.6
2-1 4.3.4.5.10</t>
  </si>
  <si>
    <t>IR-5</t>
  </si>
  <si>
    <t>RS.AN-1
DE.AE-3</t>
  </si>
  <si>
    <t>3-3 SR 6.2
4-2 CR 6.2</t>
  </si>
  <si>
    <t>A.1.8.16</t>
  </si>
  <si>
    <t>CC7.2
CC7.3</t>
  </si>
  <si>
    <t>DE.AE-2
DE.AE-5</t>
  </si>
  <si>
    <t>3-2 ZCR 6.6</t>
  </si>
  <si>
    <t>A.1.5.7</t>
  </si>
  <si>
    <t>CC7.3</t>
  </si>
  <si>
    <t>3.1.18</t>
  </si>
  <si>
    <t>A.1.8.1</t>
  </si>
  <si>
    <t>2-4 SP.03.08 RE(2)
2-4 SP.03.10
3-3 SR 3.4
3-3 SR 4.1
3-3 SR 4.3
4-2 CR 3.4
4-2 CR 4.1
4-2 CR 4.3</t>
  </si>
  <si>
    <t>SC-18</t>
  </si>
  <si>
    <t>DE.CM-5</t>
  </si>
  <si>
    <t>3-3 SR 2.4
4-2 CR 2.4</t>
  </si>
  <si>
    <t>R1.2.4</t>
  </si>
  <si>
    <t>R4.1.4
R4.2.2
R4.3.2</t>
  </si>
  <si>
    <t>R4.1.4
R4.2.2</t>
  </si>
  <si>
    <t>3.10.3
3.10.4
3.10.5</t>
  </si>
  <si>
    <t>2-1 4.3.3.3.2
2-1 4.3.3.3.8</t>
  </si>
  <si>
    <t>A.1.7.1
A.1.7.2
A.1.7.3
A.1.7.4</t>
  </si>
  <si>
    <t>CM-10</t>
  </si>
  <si>
    <t>AU-10
SI-7</t>
  </si>
  <si>
    <t>3-3 SR 3.1
3-3 SR 3.4
4-2 CR 3.1
4-2 CR 3.4</t>
  </si>
  <si>
    <t>SI-3</t>
  </si>
  <si>
    <t>3.14.2</t>
  </si>
  <si>
    <t>DE.CM-4</t>
  </si>
  <si>
    <t>2-1 4.3.4.3.8
2-4 SP 02.02</t>
  </si>
  <si>
    <t>A.1.8.7
A.1.8.8</t>
  </si>
  <si>
    <t>CC6.8</t>
  </si>
  <si>
    <t>SA-10
SI-7</t>
  </si>
  <si>
    <t>2-4 SP.11.06 RE(3)</t>
  </si>
  <si>
    <t>A.1.5.21
A.1.5.22
A.1.5.26</t>
  </si>
  <si>
    <t>CC2.3
PI1.1</t>
  </si>
  <si>
    <t>SR-10
SR-11</t>
  </si>
  <si>
    <t>SI-5</t>
  </si>
  <si>
    <t>RS.AN-5</t>
  </si>
  <si>
    <t>2-1 4.4.3.3
2-1 4.4.3.6
3-2 ZCR 6.6</t>
  </si>
  <si>
    <t>A.1.5.6
A.1.5.7</t>
  </si>
  <si>
    <t>CM-11
SI-4
RA-5</t>
  </si>
  <si>
    <t>3.4.9
3.11.2
3.13.8</t>
  </si>
  <si>
    <t>ID.RA-1
DE.CM-8
PR.DS-6
PR.DS-8
PR.IP-12
RS.AN-5
RS.MI-3</t>
  </si>
  <si>
    <t>2-1 4.3.4.3.7
2-4 SP.11.01 BR
2-4 SP.11.02 BR
3-3 SR 3.1
3-3 SR 3.4
4-2 CR 3.1
4-2 CR 3.4</t>
  </si>
  <si>
    <t>A.1.5.19
A.1.5.20
A.1.5.22</t>
  </si>
  <si>
    <t>CC7.1
CC7.2</t>
  </si>
  <si>
    <t>3-3 FR 3
4-2 FR 3
4-1 SM-6</t>
  </si>
  <si>
    <t>A.1.8.4
A.1.8.19</t>
  </si>
  <si>
    <t>AC‑17
AC-20
SC-7</t>
  </si>
  <si>
    <t>3.1.12
3.1.14
3.1.18
3.4.7
3.5.1</t>
  </si>
  <si>
    <t>PR.PT-4
PR.AC-7</t>
  </si>
  <si>
    <t>2-4 SP.03.07
3-3 SR 2.3
3-3 SR 7.6
4-2 CR 2.3
4-2 CR 7.6</t>
  </si>
  <si>
    <t>A.1.8.1
A.1.8.7
A.1.8.9</t>
  </si>
  <si>
    <t>CC6.1
CC6.3
CC6.6
CC6.7
CC6.8</t>
  </si>
  <si>
    <t>AC-17
AC-19
AC-20</t>
  </si>
  <si>
    <t>3.1.18
3.1.19
3.1.20</t>
  </si>
  <si>
    <t>2-4 SP.03.07
3-3 SR 2.3
4-2 CR 2.3</t>
  </si>
  <si>
    <t>A.1.8.1
A.1.8.9</t>
  </si>
  <si>
    <t>3.14.4</t>
  </si>
  <si>
    <t>2-1 4.3.4.3.8
4-2 SAR 3.2
2-4 SP.10.01</t>
  </si>
  <si>
    <t>A.1.8.7</t>
  </si>
  <si>
    <t>RA-1</t>
  </si>
  <si>
    <t>ID.SC-1</t>
  </si>
  <si>
    <t>2-1 4.3.4.2</t>
  </si>
  <si>
    <t>MP-5</t>
  </si>
  <si>
    <t>3.8.5</t>
  </si>
  <si>
    <t>PE-6</t>
  </si>
  <si>
    <t>3.10.2</t>
  </si>
  <si>
    <t>SA-3
SA-8</t>
  </si>
  <si>
    <t>3.13.2</t>
  </si>
  <si>
    <t>2-1 4.3.4.3.1
4-1 SD-1</t>
  </si>
  <si>
    <t>R3.3.1
R3.3.2</t>
  </si>
  <si>
    <t>R3.3.3</t>
  </si>
  <si>
    <t>R3.3.1
R3.3.2
R3.3.3</t>
  </si>
  <si>
    <t>R3.3.1</t>
  </si>
  <si>
    <t>2-1 4.2.3.7
2-4 SP 02.02
3-2 ZCR 5.2</t>
  </si>
  <si>
    <t>SA-11</t>
  </si>
  <si>
    <t>4-1 SVV-3</t>
  </si>
  <si>
    <t>A.1.8.29</t>
  </si>
  <si>
    <t>2-4 SP.02.01
4-1 SVV-3</t>
  </si>
  <si>
    <t>SI-2
IR-4</t>
  </si>
  <si>
    <t>2-1 4.3.4.3
2-1 4.3.4.5.9
2-4 SP.11.02
4-1 DM-5</t>
  </si>
  <si>
    <t>A.1.5.19
A.1.6.8
A.1.8.8</t>
  </si>
  <si>
    <t>CC2.3
CC7.4</t>
  </si>
  <si>
    <t>SI-2
SI-5
IR-4</t>
  </si>
  <si>
    <t>2-1 4.3.4.5.9
2-4 SP.11.02
4-1 DM-5</t>
  </si>
  <si>
    <t>CC2.3
CC7.1</t>
  </si>
  <si>
    <t>3-2 ZCR 5.8
3-2 ZCR 5.12
4-1 SUM-5</t>
  </si>
  <si>
    <t>CM-2</t>
  </si>
  <si>
    <t>2-4 SP.02.03</t>
  </si>
  <si>
    <t>2-4 SP 02.02
4-1 SVV-3</t>
  </si>
  <si>
    <t>2-1 4.3.4.3.1
4-1 SVV-3</t>
  </si>
  <si>
    <t>2-1 4.3.4.3
4-1 SM-1</t>
  </si>
  <si>
    <t>CA-8</t>
  </si>
  <si>
    <t>4-1 SVV-4
2-4 SP.02.01</t>
  </si>
  <si>
    <t>CC4.1</t>
  </si>
  <si>
    <t>ID.RA-1
RS.CO-3
RS.CO-5</t>
  </si>
  <si>
    <t>2-1 4.3.4.5.3
2-1 4.3.4.5.5
2-1 4.3.4.5.9
2-4 SP.08.01
4-1 DM-5</t>
  </si>
  <si>
    <t>3.1.12
3.1.13
3.1.14
3.1.15</t>
  </si>
  <si>
    <t>Do you have cybersecurity risk insurance?
If yes, please provide coverage amounts.</t>
  </si>
  <si>
    <t>Primary (13)
Supports (8, 10, 11)</t>
  </si>
  <si>
    <t>Removed COMP-08 and merged with COMP-04
Reworded WFM-02 to match change in wording for Criteria 3
Reworded WFM-03 for clarity
Added guidance text to WFM-07, CSPM-04
Removed IAM-26 and merged with IAM-27
Added static guidance for CSPM-10
Reworded guidance for CSPM-13
Reworded RISK-20 to correct grammar and remove hyperlink
Added mappings to industry frameworks</t>
  </si>
  <si>
    <t>R2.2.5
R3.3.2</t>
  </si>
  <si>
    <t>R1.1.2
R3.3.2</t>
  </si>
  <si>
    <t>R1.1.2
R3.3.1</t>
  </si>
  <si>
    <t>R2.2.4
R3.3.1</t>
  </si>
  <si>
    <t>Primary (59)
Supports (20)</t>
  </si>
  <si>
    <t>R2.2.5
R3.3.1</t>
  </si>
  <si>
    <t>NERC CIP Supply Chain Requirements</t>
  </si>
  <si>
    <r>
      <t xml:space="preserve">Energy Sector Supply Chain Risk Questionnaire
</t>
    </r>
    <r>
      <rPr>
        <b/>
        <sz val="16"/>
        <color theme="0" tint="-0.249977111117893"/>
        <rFont val="Verdana"/>
        <family val="2"/>
      </rPr>
      <t>Open Distribution for Supply Chain Materials
Copyright © 2024 North American Transmission Forum, Inc.</t>
    </r>
  </si>
  <si>
    <t>Open Distribution for Supply Chain Materials</t>
  </si>
  <si>
    <t>Document ID: 1394</t>
  </si>
  <si>
    <t>Energy Sector Supply Chain Risk Questionnaire</t>
  </si>
  <si>
    <t>Version: 5.0</t>
  </si>
  <si>
    <t>Version 5.0</t>
  </si>
  <si>
    <t>Describe how long your organization has conducted business in this product area including existing energy sector customers.</t>
  </si>
  <si>
    <t>Include the number of years and in what capacity as well as a list of existing energy sector customer references.</t>
  </si>
  <si>
    <t>Does your personnel vetting process allow you to share background check criteria and/or the process itself with utility for confirmation of process or verification of sampled employees?</t>
  </si>
  <si>
    <r>
      <t>Please describe your staff offboarding procedures, including the following:
· timeframe for termination of system and physical access</t>
    </r>
    <r>
      <rPr>
        <strike/>
        <sz val="11"/>
        <rFont val="Verdana"/>
        <family val="2"/>
      </rPr>
      <t xml:space="preserve">
</t>
    </r>
    <r>
      <rPr>
        <sz val="11"/>
        <rFont val="Verdana"/>
        <family val="2"/>
      </rPr>
      <t>· timeframe for notifying customers of termination of personnel</t>
    </r>
    <r>
      <rPr>
        <strike/>
        <sz val="11"/>
        <rFont val="Verdana"/>
        <family val="2"/>
      </rPr>
      <t xml:space="preserve">
</t>
    </r>
    <r>
      <rPr>
        <sz val="11"/>
        <rFont val="Verdana"/>
        <family val="2"/>
      </rPr>
      <t>· cases in which personnel will no longer need physical or logical access to the utility's sites or systems.</t>
    </r>
  </si>
  <si>
    <t>Does your computing system support role-based access control (RBAC) for end users/system administrators? (Depending on type of computing system, this may be your users internally, or potentially client users of your product.)</t>
  </si>
  <si>
    <t>Is your cybersecurity program compliant with FISMA standards? Or, in the case of products configured by the utility client, do your products include features and capabilities that are in line with FISMA standards?</t>
  </si>
  <si>
    <t>Published
5/21/2024</t>
  </si>
  <si>
    <t>Approval Date: 2024-05-21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</si>
</sst>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7"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6"/>
      <color theme="0" tint="-0.249977111117893"/>
      <name val="Verdana"/>
      <family val="2"/>
    </font>
    <font>
      <sz val="16"/>
      <color rgb="FFFF0000"/>
      <name val="Calibri"/>
      <family val="2"/>
      <scheme val="minor"/>
    </font>
    <font>
      <u/>
      <sz val="12"/>
      <color theme="10"/>
      <name val="Verdana"/>
      <family val="2"/>
    </font>
    <font>
      <sz val="8"/>
      <name val="Verdana"/>
      <family val="2"/>
    </font>
    <font>
      <sz val="11"/>
      <color theme="8"/>
      <name val="Verdana"/>
      <family val="2"/>
    </font>
    <font>
      <sz val="14"/>
      <color indexed="8"/>
      <name val="Verdana"/>
      <family val="2"/>
    </font>
    <font>
      <b/>
      <sz val="16"/>
      <color indexed="8"/>
      <name val="Verdana"/>
      <family val="2"/>
    </font>
    <font>
      <b/>
      <sz val="14"/>
      <color indexed="8"/>
      <name val="Verdana"/>
      <family val="2"/>
    </font>
    <font>
      <i/>
      <sz val="11"/>
      <name val="Calibri"/>
      <family val="2"/>
      <scheme val="minor"/>
    </font>
    <font>
      <b/>
      <sz val="22"/>
      <name val="Calibri Light"/>
      <family val="2"/>
      <scheme val="major"/>
    </font>
    <font>
      <sz val="11"/>
      <color indexed="8"/>
      <name val="Calibri"/>
      <family val="2"/>
      <scheme val="minor"/>
    </font>
    <font>
      <b/>
      <sz val="24"/>
      <color theme="4" tint="-0.499984740745262"/>
      <name val="Calibri Light"/>
      <family val="2"/>
      <scheme val="major"/>
    </font>
    <font>
      <sz val="10"/>
      <name val="Arial"/>
      <family val="2"/>
    </font>
    <font>
      <b/>
      <sz val="12"/>
      <name val="Calibri"/>
      <family val="2"/>
      <scheme val="minor"/>
    </font>
    <font>
      <b/>
      <sz val="9"/>
      <name val="Calibri"/>
      <family val="2"/>
      <scheme val="minor"/>
    </font>
    <font>
      <strike/>
      <sz val="11"/>
      <name val="Verdana"/>
      <family val="2"/>
    </font>
    <font>
      <b/>
      <sz val="12"/>
      <name val="Calibri Light"/>
      <family val="2"/>
      <scheme val="major"/>
    </font>
    <font>
      <b/>
      <sz val="11"/>
      <name val="Calibri Light"/>
      <family val="2"/>
      <scheme val="major"/>
    </font>
    <font>
      <sz val="12"/>
      <name val="Calibri"/>
      <family val="2"/>
      <scheme val="minor"/>
    </font>
    <font>
      <strike/>
      <sz val="12"/>
      <name val="Calibri"/>
      <family val="2"/>
      <scheme val="minor"/>
    </font>
    <font>
      <b/>
      <sz val="12"/>
      <color theme="2"/>
      <name val="Verdana"/>
      <family val="2"/>
    </font>
  </fonts>
  <fills count="2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B8CCE4"/>
        <bgColor indexed="64"/>
      </patternFill>
    </fill>
    <fill>
      <patternFill patternType="solid">
        <fgColor rgb="FFB8CCE4"/>
        <bgColor rgb="FF000000"/>
      </patternFill>
    </fill>
    <fill>
      <patternFill patternType="solid">
        <fgColor rgb="FFDCE6F1"/>
        <bgColor rgb="FF000000"/>
      </patternFill>
    </fill>
    <fill>
      <patternFill patternType="solid">
        <fgColor rgb="FFDCE6F1"/>
        <bgColor indexed="64"/>
      </patternFill>
    </fill>
    <fill>
      <patternFill patternType="solid">
        <fgColor rgb="FFC4D79B"/>
        <bgColor indexed="64"/>
      </patternFill>
    </fill>
    <fill>
      <patternFill patternType="solid">
        <fgColor rgb="FFEBF1DE"/>
        <bgColor indexed="64"/>
      </patternFill>
    </fill>
    <fill>
      <patternFill patternType="solid">
        <fgColor rgb="FFFCD5B4"/>
        <bgColor rgb="FF000000"/>
      </patternFill>
    </fill>
    <fill>
      <patternFill patternType="solid">
        <fgColor rgb="FFFCD5B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indexed="64"/>
      </bottom>
      <diagonal/>
    </border>
  </borders>
  <cellStyleXfs count="92">
    <xf numFmtId="0" fontId="0" fillId="0" borderId="0" applyNumberFormat="0" applyFill="0" applyBorder="0" applyProtection="0">
      <alignment vertical="top" wrapText="1"/>
    </xf>
    <xf numFmtId="0" fontId="13" fillId="0" borderId="0"/>
    <xf numFmtId="0" fontId="10" fillId="0" borderId="0"/>
    <xf numFmtId="0" fontId="8" fillId="0" borderId="0"/>
    <xf numFmtId="0" fontId="38" fillId="0" borderId="0" applyNumberFormat="0" applyFill="0" applyBorder="0" applyAlignment="0" applyProtection="0">
      <alignment vertical="top" wrapText="1"/>
    </xf>
    <xf numFmtId="0" fontId="7" fillId="0" borderId="0"/>
    <xf numFmtId="0" fontId="7" fillId="0" borderId="0"/>
    <xf numFmtId="0" fontId="6" fillId="0" borderId="0"/>
    <xf numFmtId="0" fontId="6" fillId="0" borderId="0"/>
    <xf numFmtId="0" fontId="26" fillId="0" borderId="0" applyNumberFormat="0" applyFill="0" applyBorder="0" applyProtection="0">
      <alignment vertical="top" wrapText="1"/>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2">
    <xf numFmtId="0" fontId="0" fillId="0" borderId="0" xfId="0">
      <alignment vertical="top" wrapText="1"/>
    </xf>
    <xf numFmtId="0" fontId="16" fillId="0" borderId="0" xfId="0" applyNumberFormat="1" applyFont="1" applyAlignment="1"/>
    <xf numFmtId="0" fontId="20" fillId="4" borderId="1" xfId="0" applyNumberFormat="1" applyFont="1" applyFill="1" applyBorder="1" applyAlignment="1">
      <alignment horizontal="center" vertical="center" wrapText="1"/>
    </xf>
    <xf numFmtId="0" fontId="17" fillId="2" borderId="1" xfId="0" applyNumberFormat="1" applyFont="1" applyFill="1" applyBorder="1" applyAlignment="1">
      <alignment vertical="center" wrapText="1"/>
    </xf>
    <xf numFmtId="0" fontId="24" fillId="8" borderId="1" xfId="0" applyFont="1" applyFill="1" applyBorder="1" applyAlignment="1">
      <alignment vertical="center" wrapText="1"/>
    </xf>
    <xf numFmtId="0" fontId="16" fillId="0" borderId="0" xfId="0" applyNumberFormat="1" applyFont="1" applyAlignment="1">
      <alignment horizontal="center" vertical="center"/>
    </xf>
    <xf numFmtId="0" fontId="16" fillId="0" borderId="0" xfId="0" applyNumberFormat="1" applyFont="1" applyAlignment="1">
      <alignment wrapText="1"/>
    </xf>
    <xf numFmtId="0" fontId="22" fillId="0" borderId="0" xfId="0" applyNumberFormat="1" applyFont="1" applyBorder="1" applyAlignment="1">
      <alignment wrapText="1"/>
    </xf>
    <xf numFmtId="0" fontId="0" fillId="2" borderId="0" xfId="0" applyFill="1" applyBorder="1" applyAlignment="1">
      <alignment vertical="top"/>
    </xf>
    <xf numFmtId="0" fontId="16" fillId="2" borderId="0" xfId="0" applyFont="1" applyFill="1" applyBorder="1" applyAlignment="1">
      <alignment vertical="center"/>
    </xf>
    <xf numFmtId="0" fontId="26" fillId="2" borderId="0" xfId="0" applyFont="1" applyFill="1" applyBorder="1" applyAlignment="1">
      <alignment vertical="center" wrapText="1"/>
    </xf>
    <xf numFmtId="0" fontId="28" fillId="7" borderId="1" xfId="0" applyFont="1" applyFill="1" applyBorder="1" applyAlignment="1">
      <alignment vertical="center" wrapText="1"/>
    </xf>
    <xf numFmtId="0" fontId="27" fillId="3" borderId="1" xfId="0" applyNumberFormat="1" applyFont="1" applyFill="1" applyBorder="1" applyAlignment="1">
      <alignment vertical="center" wrapText="1"/>
    </xf>
    <xf numFmtId="1" fontId="27" fillId="3" borderId="1" xfId="0" applyNumberFormat="1" applyFont="1" applyFill="1" applyBorder="1" applyAlignment="1">
      <alignment vertical="center" wrapText="1"/>
    </xf>
    <xf numFmtId="0" fontId="27" fillId="7" borderId="1" xfId="0" applyFont="1" applyFill="1" applyBorder="1" applyAlignment="1">
      <alignment vertical="center" wrapText="1"/>
    </xf>
    <xf numFmtId="0" fontId="27" fillId="10" borderId="1" xfId="0" applyNumberFormat="1" applyFont="1" applyFill="1" applyBorder="1" applyAlignment="1">
      <alignment vertical="center" wrapText="1"/>
    </xf>
    <xf numFmtId="1" fontId="30" fillId="0" borderId="1" xfId="0" applyNumberFormat="1" applyFont="1" applyFill="1" applyBorder="1" applyAlignment="1">
      <alignment vertical="center" wrapText="1"/>
    </xf>
    <xf numFmtId="0" fontId="17" fillId="10" borderId="1" xfId="0" applyNumberFormat="1" applyFont="1" applyFill="1" applyBorder="1" applyAlignment="1">
      <alignment vertical="center" wrapText="1"/>
    </xf>
    <xf numFmtId="0" fontId="30" fillId="3" borderId="1" xfId="0" applyNumberFormat="1" applyFont="1" applyFill="1" applyBorder="1" applyAlignment="1">
      <alignment horizontal="left" vertical="center" wrapText="1"/>
    </xf>
    <xf numFmtId="0" fontId="27" fillId="2" borderId="1" xfId="0" applyNumberFormat="1" applyFont="1" applyFill="1" applyBorder="1" applyAlignment="1">
      <alignment vertical="center" wrapText="1"/>
    </xf>
    <xf numFmtId="1" fontId="27" fillId="0" borderId="1" xfId="0" applyNumberFormat="1" applyFont="1" applyFill="1" applyBorder="1" applyAlignment="1">
      <alignment vertical="center" wrapText="1"/>
    </xf>
    <xf numFmtId="0" fontId="27" fillId="2" borderId="4" xfId="0" applyFont="1" applyFill="1" applyBorder="1" applyAlignment="1">
      <alignment vertical="center" wrapText="1"/>
    </xf>
    <xf numFmtId="0" fontId="30" fillId="0" borderId="1" xfId="0" applyNumberFormat="1"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8" fillId="0" borderId="1" xfId="0" applyFont="1" applyFill="1" applyBorder="1" applyAlignment="1">
      <alignment vertical="center" wrapText="1"/>
    </xf>
    <xf numFmtId="0" fontId="27" fillId="0" borderId="1" xfId="0" applyNumberFormat="1" applyFont="1" applyFill="1" applyBorder="1" applyAlignment="1">
      <alignment vertical="center" wrapText="1"/>
    </xf>
    <xf numFmtId="0" fontId="30" fillId="0" borderId="1" xfId="0" applyNumberFormat="1" applyFont="1" applyFill="1" applyBorder="1" applyAlignment="1">
      <alignment vertical="center" wrapText="1"/>
    </xf>
    <xf numFmtId="0" fontId="16" fillId="2" borderId="5" xfId="0" applyFont="1" applyFill="1" applyBorder="1" applyAlignment="1">
      <alignment vertical="center"/>
    </xf>
    <xf numFmtId="0" fontId="15" fillId="9" borderId="1" xfId="0" applyNumberFormat="1" applyFont="1" applyFill="1" applyBorder="1" applyAlignment="1">
      <alignment horizontal="left" vertical="center" wrapText="1"/>
    </xf>
    <xf numFmtId="0" fontId="16" fillId="0" borderId="0" xfId="0" applyNumberFormat="1" applyFont="1" applyAlignment="1">
      <alignment horizontal="left" vertical="center"/>
    </xf>
    <xf numFmtId="0" fontId="16" fillId="2" borderId="0" xfId="0" applyNumberFormat="1" applyFont="1" applyFill="1" applyBorder="1" applyAlignment="1">
      <alignment horizontal="left" vertical="center"/>
    </xf>
    <xf numFmtId="0" fontId="16" fillId="2" borderId="6" xfId="0" applyNumberFormat="1" applyFont="1" applyFill="1" applyBorder="1" applyAlignment="1">
      <alignment horizontal="left" vertical="center"/>
    </xf>
    <xf numFmtId="0" fontId="27" fillId="3" borderId="1" xfId="0" applyNumberFormat="1" applyFont="1" applyFill="1" applyBorder="1" applyAlignment="1">
      <alignment horizontal="left" vertical="center" wrapText="1"/>
    </xf>
    <xf numFmtId="0" fontId="27" fillId="2" borderId="1" xfId="0" applyNumberFormat="1" applyFont="1" applyFill="1" applyBorder="1" applyAlignment="1">
      <alignment horizontal="left" vertical="center" wrapText="1"/>
    </xf>
    <xf numFmtId="0" fontId="27" fillId="2" borderId="1" xfId="0" applyNumberFormat="1" applyFont="1" applyFill="1" applyBorder="1" applyAlignment="1">
      <alignment horizontal="center" vertical="center"/>
    </xf>
    <xf numFmtId="0" fontId="27" fillId="2" borderId="1" xfId="0" applyNumberFormat="1" applyFont="1" applyFill="1" applyBorder="1" applyAlignment="1">
      <alignment horizontal="center" vertical="center" wrapText="1"/>
    </xf>
    <xf numFmtId="0" fontId="27" fillId="8" borderId="1" xfId="0" applyFont="1" applyFill="1" applyBorder="1" applyAlignment="1">
      <alignment vertical="center" wrapText="1"/>
    </xf>
    <xf numFmtId="0" fontId="27"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5" fillId="0" borderId="0" xfId="1" applyFont="1"/>
    <xf numFmtId="0" fontId="13" fillId="0" borderId="7" xfId="1" applyBorder="1" applyAlignment="1">
      <alignment horizontal="left" wrapText="1"/>
    </xf>
    <xf numFmtId="0" fontId="13" fillId="0" borderId="8" xfId="1" applyBorder="1" applyAlignment="1">
      <alignment horizontal="left" wrapText="1"/>
    </xf>
    <xf numFmtId="14" fontId="13" fillId="0" borderId="9" xfId="1" applyNumberFormat="1" applyBorder="1" applyAlignment="1">
      <alignment horizontal="left" wrapText="1"/>
    </xf>
    <xf numFmtId="0" fontId="13" fillId="0" borderId="10" xfId="1" applyBorder="1" applyAlignment="1">
      <alignment horizontal="center" wrapText="1"/>
    </xf>
    <xf numFmtId="0" fontId="13" fillId="0" borderId="10" xfId="1" applyBorder="1" applyAlignment="1">
      <alignment horizontal="left" wrapText="1"/>
    </xf>
    <xf numFmtId="0" fontId="27" fillId="0" borderId="1" xfId="0" applyFont="1" applyFill="1" applyBorder="1" applyAlignment="1">
      <alignment vertical="center" wrapText="1"/>
    </xf>
    <xf numFmtId="0" fontId="27" fillId="3" borderId="1" xfId="0" applyFont="1" applyFill="1" applyBorder="1" applyAlignment="1">
      <alignment vertical="center" wrapText="1"/>
    </xf>
    <xf numFmtId="0" fontId="12" fillId="0" borderId="8" xfId="1" applyFont="1" applyBorder="1" applyAlignment="1">
      <alignment horizontal="left" wrapText="1"/>
    </xf>
    <xf numFmtId="0" fontId="11" fillId="0" borderId="10" xfId="1" applyFont="1" applyBorder="1" applyAlignment="1">
      <alignment horizontal="left" wrapText="1"/>
    </xf>
    <xf numFmtId="1" fontId="33" fillId="2" borderId="1" xfId="0" applyNumberFormat="1" applyFont="1" applyFill="1" applyBorder="1" applyAlignment="1">
      <alignment vertical="center" wrapText="1"/>
    </xf>
    <xf numFmtId="0" fontId="33" fillId="2" borderId="1" xfId="0" applyNumberFormat="1" applyFont="1" applyFill="1" applyBorder="1" applyAlignment="1">
      <alignment vertical="center" wrapText="1"/>
    </xf>
    <xf numFmtId="0" fontId="33" fillId="11" borderId="1" xfId="0" applyFont="1" applyFill="1" applyBorder="1" applyAlignment="1">
      <alignment vertical="center" wrapText="1"/>
    </xf>
    <xf numFmtId="0" fontId="33" fillId="2" borderId="1" xfId="0" applyFont="1" applyFill="1" applyBorder="1" applyAlignment="1">
      <alignment vertical="center" wrapText="1"/>
    </xf>
    <xf numFmtId="165" fontId="9" fillId="0" borderId="10" xfId="1" applyNumberFormat="1" applyFont="1" applyBorder="1" applyAlignment="1">
      <alignment horizontal="center" vertical="top" wrapText="1"/>
    </xf>
    <xf numFmtId="0" fontId="27" fillId="2" borderId="0" xfId="0" applyFont="1" applyFill="1" applyBorder="1" applyAlignment="1">
      <alignment vertical="center"/>
    </xf>
    <xf numFmtId="0" fontId="28" fillId="0" borderId="0" xfId="0" applyFont="1">
      <alignment vertical="top" wrapText="1"/>
    </xf>
    <xf numFmtId="165" fontId="13" fillId="0" borderId="10" xfId="1" applyNumberFormat="1" applyBorder="1" applyAlignment="1">
      <alignment horizontal="center" wrapText="1"/>
    </xf>
    <xf numFmtId="0" fontId="23" fillId="0" borderId="0" xfId="0" applyNumberFormat="1" applyFont="1" applyAlignment="1"/>
    <xf numFmtId="14" fontId="35" fillId="0" borderId="9" xfId="1" applyNumberFormat="1" applyFont="1" applyBorder="1" applyAlignment="1">
      <alignment horizontal="left" vertical="top" wrapText="1"/>
    </xf>
    <xf numFmtId="14" fontId="37" fillId="0" borderId="0" xfId="7" applyNumberFormat="1" applyFont="1" applyAlignment="1">
      <alignment horizontal="left" vertical="top" wrapText="1"/>
    </xf>
    <xf numFmtId="0" fontId="40" fillId="2" borderId="1" xfId="0" applyFont="1" applyFill="1" applyBorder="1" applyAlignment="1">
      <alignment vertical="center" wrapText="1"/>
    </xf>
    <xf numFmtId="0" fontId="40" fillId="2" borderId="1" xfId="0" applyNumberFormat="1" applyFont="1" applyFill="1" applyBorder="1" applyAlignment="1">
      <alignment vertical="center" wrapText="1"/>
    </xf>
    <xf numFmtId="165" fontId="35" fillId="0" borderId="10" xfId="1" applyNumberFormat="1" applyFont="1" applyBorder="1" applyAlignment="1">
      <alignment horizontal="center" vertical="top" wrapText="1"/>
    </xf>
    <xf numFmtId="0" fontId="15" fillId="9" borderId="11" xfId="0" applyNumberFormat="1" applyFont="1" applyFill="1" applyBorder="1" applyAlignment="1">
      <alignment horizontal="center" vertical="center" wrapText="1"/>
    </xf>
    <xf numFmtId="0" fontId="15" fillId="9" borderId="12" xfId="0" applyNumberFormat="1" applyFont="1" applyFill="1" applyBorder="1" applyAlignment="1">
      <alignment horizontal="center" vertical="center" wrapText="1"/>
    </xf>
    <xf numFmtId="0" fontId="15" fillId="9" borderId="6" xfId="0" applyNumberFormat="1" applyFont="1" applyFill="1" applyBorder="1" applyAlignment="1">
      <alignment horizontal="center" vertical="center"/>
    </xf>
    <xf numFmtId="0" fontId="41" fillId="0" borderId="13" xfId="0" applyNumberFormat="1" applyFont="1" applyBorder="1" applyAlignment="1">
      <alignment horizontal="center" vertical="center"/>
    </xf>
    <xf numFmtId="0" fontId="41" fillId="0" borderId="0" xfId="0" applyNumberFormat="1" applyFont="1" applyBorder="1" applyAlignment="1">
      <alignment horizontal="center" vertical="center"/>
    </xf>
    <xf numFmtId="0" fontId="41" fillId="0" borderId="5" xfId="0" applyNumberFormat="1" applyFont="1" applyFill="1" applyBorder="1" applyAlignment="1">
      <alignment horizontal="center" vertical="center"/>
    </xf>
    <xf numFmtId="0" fontId="41" fillId="4" borderId="13" xfId="0" applyNumberFormat="1" applyFont="1" applyFill="1" applyBorder="1" applyAlignment="1">
      <alignment horizontal="center" vertical="center"/>
    </xf>
    <xf numFmtId="0" fontId="41" fillId="4" borderId="0" xfId="0" applyNumberFormat="1" applyFont="1" applyFill="1" applyBorder="1" applyAlignment="1">
      <alignment horizontal="center" vertical="center"/>
    </xf>
    <xf numFmtId="0" fontId="41" fillId="4" borderId="5" xfId="0" applyNumberFormat="1" applyFont="1" applyFill="1" applyBorder="1" applyAlignment="1">
      <alignment horizontal="center" vertical="center"/>
    </xf>
    <xf numFmtId="0" fontId="41" fillId="5" borderId="13" xfId="0" applyNumberFormat="1" applyFont="1" applyFill="1" applyBorder="1" applyAlignment="1">
      <alignment horizontal="center" vertical="center"/>
    </xf>
    <xf numFmtId="0" fontId="41" fillId="5" borderId="0" xfId="0" applyNumberFormat="1" applyFont="1" applyFill="1" applyBorder="1" applyAlignment="1">
      <alignment horizontal="center" vertical="center"/>
    </xf>
    <xf numFmtId="0"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1" fillId="13" borderId="1"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43" fillId="0" borderId="5" xfId="0" applyNumberFormat="1" applyFont="1" applyFill="1" applyBorder="1" applyAlignment="1">
      <alignment horizontal="center" vertical="center"/>
    </xf>
    <xf numFmtId="0" fontId="41" fillId="13" borderId="2" xfId="0" applyNumberFormat="1" applyFont="1" applyFill="1" applyBorder="1" applyAlignment="1">
      <alignment horizontal="center" vertical="center"/>
    </xf>
    <xf numFmtId="0" fontId="41" fillId="0" borderId="0" xfId="0" applyNumberFormat="1" applyFont="1" applyAlignment="1">
      <alignment horizontal="center" vertical="center"/>
    </xf>
    <xf numFmtId="0" fontId="41" fillId="0" borderId="0" xfId="0" applyNumberFormat="1" applyFont="1" applyFill="1" applyAlignment="1">
      <alignment horizontal="center" vertical="center"/>
    </xf>
    <xf numFmtId="0" fontId="35" fillId="0" borderId="10" xfId="1" applyFont="1" applyBorder="1" applyAlignment="1">
      <alignment horizontal="center" wrapText="1"/>
    </xf>
    <xf numFmtId="14" fontId="35" fillId="0" borderId="9" xfId="1" applyNumberFormat="1" applyFont="1" applyBorder="1" applyAlignment="1">
      <alignment horizontal="left" wrapText="1"/>
    </xf>
    <xf numFmtId="0" fontId="35" fillId="0" borderId="10" xfId="1" applyFont="1" applyBorder="1" applyAlignment="1">
      <alignment horizontal="left" wrapText="1"/>
    </xf>
    <xf numFmtId="0" fontId="35" fillId="0" borderId="8" xfId="1" applyFont="1" applyBorder="1" applyAlignment="1">
      <alignment horizontal="left" wrapText="1"/>
    </xf>
    <xf numFmtId="0" fontId="44" fillId="0" borderId="0" xfId="0" applyFont="1" applyAlignment="1"/>
    <xf numFmtId="165" fontId="35" fillId="0" borderId="10" xfId="1" applyNumberFormat="1" applyFont="1" applyBorder="1" applyAlignment="1">
      <alignment horizontal="center" wrapText="1"/>
    </xf>
    <xf numFmtId="0" fontId="35" fillId="0" borderId="7" xfId="1" applyFont="1" applyBorder="1" applyAlignment="1">
      <alignment horizontal="left" wrapText="1"/>
    </xf>
    <xf numFmtId="0" fontId="35" fillId="0" borderId="10" xfId="1" applyFont="1" applyBorder="1" applyAlignment="1">
      <alignment horizontal="left" vertical="top" wrapText="1"/>
    </xf>
    <xf numFmtId="0" fontId="15" fillId="9" borderId="1" xfId="0" applyNumberFormat="1" applyFont="1" applyFill="1" applyBorder="1" applyAlignment="1">
      <alignment horizontal="center" vertical="center" wrapText="1"/>
    </xf>
    <xf numFmtId="0" fontId="46" fillId="0" borderId="0" xfId="0" applyFont="1" applyAlignment="1">
      <alignment horizontal="left"/>
    </xf>
    <xf numFmtId="0" fontId="27" fillId="2" borderId="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49" fillId="0" borderId="0" xfId="9" applyFont="1" applyAlignment="1"/>
    <xf numFmtId="0" fontId="33" fillId="0" borderId="1" xfId="0" applyNumberFormat="1" applyFont="1" applyFill="1" applyBorder="1" applyAlignment="1">
      <alignment vertical="center" wrapText="1"/>
    </xf>
    <xf numFmtId="1" fontId="33" fillId="0" borderId="1" xfId="0" applyNumberFormat="1" applyFont="1" applyFill="1" applyBorder="1" applyAlignment="1">
      <alignment vertical="center" wrapText="1"/>
    </xf>
    <xf numFmtId="0" fontId="52" fillId="15" borderId="4" xfId="9" applyFont="1" applyFill="1" applyBorder="1" applyAlignment="1">
      <alignment horizontal="center" vertical="center" wrapText="1"/>
    </xf>
    <xf numFmtId="0" fontId="52" fillId="19" borderId="1" xfId="9" applyFont="1" applyFill="1" applyBorder="1" applyAlignment="1">
      <alignment horizontal="center" vertical="center" wrapText="1"/>
    </xf>
    <xf numFmtId="0" fontId="53" fillId="15" borderId="1" xfId="9"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 xfId="9" applyFont="1" applyBorder="1" applyAlignment="1">
      <alignment horizontal="center" vertical="center" wrapText="1"/>
    </xf>
    <xf numFmtId="0" fontId="49" fillId="0" borderId="4" xfId="9" applyFont="1" applyBorder="1" applyAlignment="1">
      <alignment horizontal="center" vertical="center" wrapText="1"/>
    </xf>
    <xf numFmtId="0" fontId="50" fillId="0" borderId="1" xfId="9" applyFont="1" applyBorder="1" applyAlignment="1">
      <alignment horizontal="center" vertical="center" wrapText="1"/>
    </xf>
    <xf numFmtId="0" fontId="54" fillId="21" borderId="1" xfId="0" applyFont="1" applyFill="1" applyBorder="1" applyAlignment="1">
      <alignment horizontal="center" vertical="center" wrapText="1"/>
    </xf>
    <xf numFmtId="0" fontId="54" fillId="17" borderId="1" xfId="9" applyFont="1" applyFill="1" applyBorder="1" applyAlignment="1">
      <alignment horizontal="center" vertical="center" wrapText="1"/>
    </xf>
    <xf numFmtId="0" fontId="54" fillId="14" borderId="1" xfId="9" applyFont="1" applyFill="1" applyBorder="1" applyAlignment="1">
      <alignment horizontal="center" vertical="center" wrapText="1"/>
    </xf>
    <xf numFmtId="0" fontId="54" fillId="16" borderId="1" xfId="9" applyFont="1" applyFill="1" applyBorder="1" applyAlignment="1">
      <alignment horizontal="center" vertical="center" wrapText="1"/>
    </xf>
    <xf numFmtId="0" fontId="54" fillId="22" borderId="1" xfId="0" applyNumberFormat="1" applyFont="1" applyFill="1" applyBorder="1" applyAlignment="1"/>
    <xf numFmtId="0" fontId="54" fillId="18" borderId="1" xfId="9" applyNumberFormat="1" applyFont="1" applyFill="1" applyBorder="1" applyAlignment="1"/>
    <xf numFmtId="0" fontId="54" fillId="20" borderId="1" xfId="9" applyNumberFormat="1" applyFont="1" applyFill="1" applyBorder="1" applyAlignment="1"/>
    <xf numFmtId="0" fontId="54" fillId="15" borderId="1" xfId="9" applyNumberFormat="1" applyFont="1" applyFill="1" applyBorder="1" applyAlignment="1"/>
    <xf numFmtId="0" fontId="55" fillId="17" borderId="1" xfId="9" applyFont="1" applyFill="1" applyBorder="1" applyAlignment="1">
      <alignment horizontal="center" vertical="center" wrapText="1"/>
    </xf>
    <xf numFmtId="0" fontId="54" fillId="15" borderId="1" xfId="9" applyNumberFormat="1" applyFont="1" applyFill="1" applyBorder="1" applyAlignment="1">
      <alignment horizontal="center" vertical="center"/>
    </xf>
    <xf numFmtId="0" fontId="54" fillId="20" borderId="1" xfId="9" applyNumberFormat="1" applyFont="1" applyFill="1" applyBorder="1" applyAlignment="1">
      <alignment horizontal="center" vertical="center"/>
    </xf>
    <xf numFmtId="0" fontId="54" fillId="21" borderId="1" xfId="9" applyFont="1" applyFill="1" applyBorder="1" applyAlignment="1">
      <alignment horizontal="center" vertical="center" wrapText="1"/>
    </xf>
    <xf numFmtId="0" fontId="54" fillId="22" borderId="1" xfId="9" applyNumberFormat="1" applyFont="1" applyFill="1" applyBorder="1" applyAlignment="1"/>
    <xf numFmtId="0" fontId="54" fillId="16" borderId="1" xfId="62" applyFont="1" applyFill="1" applyBorder="1" applyAlignment="1">
      <alignment horizontal="center" vertical="center" wrapText="1"/>
    </xf>
    <xf numFmtId="0" fontId="54" fillId="18" borderId="1" xfId="9" applyNumberFormat="1" applyFont="1" applyFill="1" applyBorder="1" applyAlignment="1">
      <alignment horizontal="center" vertical="center"/>
    </xf>
    <xf numFmtId="0" fontId="54" fillId="22" borderId="1" xfId="9" applyNumberFormat="1" applyFont="1" applyFill="1" applyBorder="1" applyAlignment="1">
      <alignment horizontal="center" vertical="center"/>
    </xf>
    <xf numFmtId="0" fontId="54" fillId="18" borderId="1" xfId="9" applyNumberFormat="1" applyFont="1" applyFill="1" applyBorder="1" applyAlignment="1">
      <alignment horizontal="center" vertical="center" wrapText="1"/>
    </xf>
    <xf numFmtId="0" fontId="54" fillId="22" borderId="1" xfId="9" applyNumberFormat="1" applyFont="1" applyFill="1" applyBorder="1" applyAlignment="1">
      <alignment horizontal="center" vertical="center" wrapText="1"/>
    </xf>
    <xf numFmtId="0" fontId="54" fillId="20" borderId="1" xfId="9" applyNumberFormat="1" applyFont="1" applyFill="1" applyBorder="1" applyAlignment="1">
      <alignment horizontal="center" vertical="center" wrapText="1"/>
    </xf>
    <xf numFmtId="0" fontId="54" fillId="15" borderId="1" xfId="9" applyNumberFormat="1" applyFont="1" applyFill="1" applyBorder="1" applyAlignment="1">
      <alignment horizontal="center" vertical="center" wrapText="1"/>
    </xf>
    <xf numFmtId="0" fontId="56" fillId="9" borderId="1" xfId="0" applyNumberFormat="1" applyFont="1" applyFill="1" applyBorder="1" applyAlignment="1">
      <alignment horizontal="center" vertical="center" wrapText="1"/>
    </xf>
    <xf numFmtId="0" fontId="35" fillId="0" borderId="17" xfId="1" applyFont="1" applyBorder="1"/>
    <xf numFmtId="0" fontId="0" fillId="0" borderId="0" xfId="0" applyAlignment="1"/>
    <xf numFmtId="0" fontId="34" fillId="0" borderId="0" xfId="0" applyFont="1" applyAlignment="1">
      <alignment horizontal="left" vertical="center" wrapText="1"/>
    </xf>
    <xf numFmtId="0" fontId="47" fillId="0" borderId="0" xfId="0" applyFont="1" applyAlignment="1">
      <alignment horizontal="left" wrapText="1"/>
    </xf>
    <xf numFmtId="0" fontId="34" fillId="0" borderId="0" xfId="9" applyFont="1" applyAlignment="1">
      <alignment horizontal="left" vertical="center" wrapText="1"/>
    </xf>
    <xf numFmtId="0" fontId="50" fillId="0" borderId="0" xfId="0" applyFont="1" applyAlignment="1">
      <alignment horizontal="left"/>
    </xf>
    <xf numFmtId="0" fontId="35" fillId="0" borderId="0" xfId="0" applyFont="1" applyAlignment="1"/>
    <xf numFmtId="0" fontId="26" fillId="0" borderId="0" xfId="9" applyAlignment="1">
      <alignment horizontal="justify" vertical="center"/>
    </xf>
    <xf numFmtId="0" fontId="45" fillId="0" borderId="0" xfId="0" applyFont="1" applyAlignment="1">
      <alignment horizontal="left" wrapText="1"/>
    </xf>
    <xf numFmtId="0" fontId="20" fillId="4"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8" fillId="2" borderId="3" xfId="0" applyNumberFormat="1" applyFont="1" applyFill="1" applyBorder="1" applyAlignment="1">
      <alignment horizontal="right" vertical="center" wrapText="1"/>
    </xf>
    <xf numFmtId="0" fontId="18" fillId="2" borderId="4" xfId="0" applyNumberFormat="1" applyFont="1" applyFill="1" applyBorder="1" applyAlignment="1">
      <alignment horizontal="right" vertical="center" wrapText="1"/>
    </xf>
    <xf numFmtId="0" fontId="20" fillId="4" borderId="2" xfId="0" applyNumberFormat="1" applyFont="1" applyFill="1" applyBorder="1" applyAlignment="1">
      <alignment horizontal="left" vertical="center" wrapText="1"/>
    </xf>
    <xf numFmtId="0" fontId="20" fillId="4" borderId="3" xfId="0" applyNumberFormat="1" applyFont="1" applyFill="1" applyBorder="1" applyAlignment="1">
      <alignment horizontal="left" vertical="center" wrapText="1"/>
    </xf>
    <xf numFmtId="0" fontId="20" fillId="4" borderId="4" xfId="0" applyNumberFormat="1" applyFont="1" applyFill="1" applyBorder="1" applyAlignment="1">
      <alignment horizontal="left" vertical="center" wrapText="1"/>
    </xf>
    <xf numFmtId="0" fontId="27" fillId="7" borderId="1" xfId="0" applyFont="1" applyFill="1" applyBorder="1" applyAlignment="1">
      <alignment vertical="center" wrapText="1"/>
    </xf>
    <xf numFmtId="0" fontId="30" fillId="0" borderId="2" xfId="0" applyNumberFormat="1" applyFont="1" applyFill="1" applyBorder="1" applyAlignment="1">
      <alignment horizontal="center" vertical="center" wrapText="1"/>
    </xf>
    <xf numFmtId="0" fontId="30" fillId="0" borderId="3" xfId="0" applyNumberFormat="1" applyFont="1" applyFill="1" applyBorder="1" applyAlignment="1">
      <alignment horizontal="center" vertical="center" wrapText="1"/>
    </xf>
    <xf numFmtId="0" fontId="27" fillId="0" borderId="2" xfId="0" applyNumberFormat="1" applyFont="1" applyFill="1" applyBorder="1" applyAlignment="1">
      <alignment horizontal="left" vertical="center" wrapText="1"/>
    </xf>
    <xf numFmtId="0" fontId="27" fillId="0" borderId="3" xfId="0" applyNumberFormat="1" applyFont="1" applyFill="1" applyBorder="1" applyAlignment="1">
      <alignment horizontal="left" vertical="center" wrapText="1"/>
    </xf>
    <xf numFmtId="0" fontId="27" fillId="0" borderId="4" xfId="0" applyNumberFormat="1" applyFont="1" applyFill="1" applyBorder="1" applyAlignment="1">
      <alignment horizontal="left" vertical="center" wrapText="1"/>
    </xf>
    <xf numFmtId="0" fontId="28" fillId="5" borderId="11" xfId="0" applyNumberFormat="1" applyFont="1" applyFill="1" applyBorder="1" applyAlignment="1">
      <alignment horizontal="left" vertical="center" wrapText="1"/>
    </xf>
    <xf numFmtId="0" fontId="28" fillId="5" borderId="12" xfId="0" applyNumberFormat="1" applyFont="1" applyFill="1" applyBorder="1" applyAlignment="1">
      <alignment horizontal="left" vertical="center" wrapText="1"/>
    </xf>
    <xf numFmtId="0" fontId="28" fillId="5" borderId="6" xfId="0" applyNumberFormat="1" applyFont="1" applyFill="1" applyBorder="1" applyAlignment="1">
      <alignment horizontal="left" vertical="center" wrapText="1"/>
    </xf>
    <xf numFmtId="0" fontId="28" fillId="5" borderId="14" xfId="0" applyNumberFormat="1" applyFont="1" applyFill="1" applyBorder="1" applyAlignment="1">
      <alignment horizontal="left" vertical="center" wrapText="1"/>
    </xf>
    <xf numFmtId="0" fontId="28" fillId="5" borderId="16" xfId="0" applyNumberFormat="1" applyFont="1" applyFill="1" applyBorder="1" applyAlignment="1">
      <alignment horizontal="left" vertical="center" wrapText="1"/>
    </xf>
    <xf numFmtId="0" fontId="28" fillId="5" borderId="15" xfId="0" applyNumberFormat="1" applyFont="1" applyFill="1" applyBorder="1" applyAlignment="1">
      <alignment horizontal="left" vertical="center" wrapText="1"/>
    </xf>
    <xf numFmtId="0" fontId="14" fillId="9" borderId="1" xfId="0" applyNumberFormat="1" applyFont="1" applyFill="1" applyBorder="1" applyAlignment="1">
      <alignment horizontal="left" vertical="center" wrapText="1"/>
    </xf>
    <xf numFmtId="0" fontId="25" fillId="0" borderId="0" xfId="0" applyFont="1" applyBorder="1" applyAlignment="1">
      <alignment vertical="center" wrapText="1"/>
    </xf>
    <xf numFmtId="0" fontId="16" fillId="2" borderId="0" xfId="0" applyFont="1" applyFill="1" applyBorder="1" applyAlignment="1">
      <alignment vertical="center"/>
    </xf>
    <xf numFmtId="0" fontId="32" fillId="0" borderId="2" xfId="0" applyNumberFormat="1" applyFont="1" applyFill="1" applyBorder="1" applyAlignment="1">
      <alignment vertical="center" wrapText="1"/>
    </xf>
    <xf numFmtId="0" fontId="32" fillId="0" borderId="3" xfId="0" applyNumberFormat="1" applyFont="1" applyFill="1" applyBorder="1" applyAlignment="1">
      <alignment vertical="center" wrapText="1"/>
    </xf>
    <xf numFmtId="0" fontId="32" fillId="0" borderId="4" xfId="0" applyNumberFormat="1" applyFont="1" applyFill="1" applyBorder="1" applyAlignment="1">
      <alignment vertical="center" wrapText="1"/>
    </xf>
    <xf numFmtId="0" fontId="21" fillId="6" borderId="2" xfId="0" applyNumberFormat="1" applyFont="1" applyFill="1" applyBorder="1" applyAlignment="1">
      <alignment horizontal="left" vertical="center" wrapText="1"/>
    </xf>
    <xf numFmtId="0" fontId="21" fillId="6" borderId="3" xfId="0" applyNumberFormat="1" applyFont="1" applyFill="1" applyBorder="1" applyAlignment="1">
      <alignment horizontal="left" vertical="center" wrapText="1"/>
    </xf>
    <xf numFmtId="0" fontId="21" fillId="6" borderId="4" xfId="0" applyNumberFormat="1" applyFont="1" applyFill="1" applyBorder="1" applyAlignment="1">
      <alignment horizontal="left" vertical="center" wrapText="1"/>
    </xf>
    <xf numFmtId="164" fontId="19" fillId="3" borderId="2" xfId="0" applyNumberFormat="1" applyFont="1" applyFill="1" applyBorder="1" applyAlignment="1">
      <alignment horizontal="left" vertical="center" wrapText="1"/>
    </xf>
    <xf numFmtId="164" fontId="19" fillId="3" borderId="3" xfId="0" applyNumberFormat="1" applyFont="1" applyFill="1" applyBorder="1" applyAlignment="1">
      <alignment horizontal="left" vertical="center" wrapText="1"/>
    </xf>
    <xf numFmtId="164" fontId="19" fillId="3" borderId="4" xfId="0" applyNumberFormat="1" applyFont="1" applyFill="1" applyBorder="1" applyAlignment="1">
      <alignment horizontal="left" vertical="center" wrapText="1"/>
    </xf>
    <xf numFmtId="0" fontId="28" fillId="5" borderId="2" xfId="0" applyNumberFormat="1" applyFont="1" applyFill="1" applyBorder="1" applyAlignment="1">
      <alignment horizontal="left" vertical="center" wrapText="1"/>
    </xf>
    <xf numFmtId="0" fontId="28" fillId="5" borderId="3" xfId="0" applyNumberFormat="1" applyFont="1" applyFill="1" applyBorder="1" applyAlignment="1">
      <alignment horizontal="left" vertical="center" wrapText="1"/>
    </xf>
    <xf numFmtId="0" fontId="28" fillId="5" borderId="4" xfId="0" applyNumberFormat="1" applyFont="1" applyFill="1" applyBorder="1" applyAlignment="1">
      <alignment horizontal="left" vertical="center" wrapText="1"/>
    </xf>
    <xf numFmtId="0" fontId="32" fillId="0" borderId="2" xfId="0" applyNumberFormat="1" applyFont="1" applyFill="1" applyBorder="1" applyAlignment="1">
      <alignment horizontal="left" vertical="center" wrapText="1"/>
    </xf>
    <xf numFmtId="0" fontId="32" fillId="0" borderId="3" xfId="0" applyNumberFormat="1" applyFont="1" applyFill="1" applyBorder="1" applyAlignment="1">
      <alignment horizontal="left" vertical="center" wrapText="1"/>
    </xf>
    <xf numFmtId="0" fontId="32" fillId="0" borderId="4" xfId="0" applyNumberFormat="1" applyFont="1" applyFill="1" applyBorder="1" applyAlignment="1">
      <alignment horizontal="left" vertical="center" wrapText="1"/>
    </xf>
    <xf numFmtId="0" fontId="27" fillId="3" borderId="2" xfId="0" applyNumberFormat="1" applyFont="1" applyFill="1" applyBorder="1" applyAlignment="1">
      <alignment horizontal="center" vertical="center" wrapText="1"/>
    </xf>
    <xf numFmtId="0" fontId="27" fillId="3" borderId="3" xfId="0" applyNumberFormat="1" applyFont="1" applyFill="1" applyBorder="1" applyAlignment="1">
      <alignment horizontal="center" vertical="center" wrapText="1"/>
    </xf>
    <xf numFmtId="0" fontId="27" fillId="3" borderId="1" xfId="0" applyNumberFormat="1" applyFont="1" applyFill="1" applyBorder="1" applyAlignment="1">
      <alignment horizontal="left" vertical="center" wrapText="1"/>
    </xf>
    <xf numFmtId="1" fontId="27" fillId="3" borderId="2" xfId="0" applyNumberFormat="1" applyFont="1" applyFill="1" applyBorder="1" applyAlignment="1">
      <alignment horizontal="center" vertical="center" wrapText="1"/>
    </xf>
    <xf numFmtId="1" fontId="27" fillId="3" borderId="3" xfId="0" applyNumberFormat="1"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27" fillId="0" borderId="3" xfId="0" applyNumberFormat="1" applyFont="1" applyFill="1" applyBorder="1" applyAlignment="1">
      <alignment horizontal="center" vertical="center" wrapText="1"/>
    </xf>
    <xf numFmtId="0" fontId="52" fillId="15" borderId="2" xfId="0" applyNumberFormat="1" applyFont="1" applyFill="1" applyBorder="1" applyAlignment="1">
      <alignment horizontal="center" vertical="center" wrapText="1"/>
    </xf>
    <xf numFmtId="0" fontId="52" fillId="15" borderId="3" xfId="0" applyNumberFormat="1" applyFont="1" applyFill="1" applyBorder="1" applyAlignment="1">
      <alignment horizontal="center" vertical="center" wrapText="1"/>
    </xf>
    <xf numFmtId="0" fontId="52" fillId="15" borderId="4" xfId="0" applyNumberFormat="1" applyFont="1" applyFill="1" applyBorder="1" applyAlignment="1">
      <alignment horizontal="center" vertical="center" wrapText="1"/>
    </xf>
    <xf numFmtId="0" fontId="20" fillId="4" borderId="13" xfId="0" applyNumberFormat="1" applyFont="1" applyFill="1" applyBorder="1" applyAlignment="1">
      <alignment horizontal="center" vertical="center"/>
    </xf>
    <xf numFmtId="0" fontId="20" fillId="4" borderId="0" xfId="0" applyNumberFormat="1" applyFont="1" applyFill="1" applyBorder="1" applyAlignment="1">
      <alignment horizontal="center" vertical="center"/>
    </xf>
    <xf numFmtId="0" fontId="52" fillId="15" borderId="2" xfId="0" applyNumberFormat="1" applyFont="1" applyFill="1" applyBorder="1" applyAlignment="1">
      <alignment horizontal="center" vertical="center"/>
    </xf>
    <xf numFmtId="0" fontId="52" fillId="15" borderId="3" xfId="0" applyNumberFormat="1" applyFont="1" applyFill="1" applyBorder="1" applyAlignment="1">
      <alignment horizontal="center" vertical="center"/>
    </xf>
    <xf numFmtId="0" fontId="52" fillId="15" borderId="4" xfId="0" applyNumberFormat="1" applyFont="1" applyFill="1" applyBorder="1" applyAlignment="1">
      <alignment horizontal="center" vertical="center"/>
    </xf>
    <xf numFmtId="0" fontId="20" fillId="12" borderId="1" xfId="0" applyNumberFormat="1" applyFont="1" applyFill="1" applyBorder="1" applyAlignment="1">
      <alignment horizontal="center" vertical="center"/>
    </xf>
  </cellXfs>
  <cellStyles count="92">
    <cellStyle name="Hyperlink 2" xfId="4" xr:uid="{9F0E0A36-5624-45CF-B333-2C5AF336D0CB}"/>
    <cellStyle name="Normal" xfId="0" builtinId="0"/>
    <cellStyle name="Normal 2" xfId="9" xr:uid="{64DE6FB7-F08F-4AF0-92C4-B2D7191B5AFB}"/>
    <cellStyle name="Normal 3" xfId="1" xr:uid="{2AC8ADC4-B574-4048-8F25-6C4814CE3854}"/>
    <cellStyle name="Normal 3 10" xfId="63" xr:uid="{1966FF6E-E285-4022-8DA7-C46BB2082293}"/>
    <cellStyle name="Normal 3 2" xfId="2" xr:uid="{4FDE45D8-B2D6-4DF5-810D-A1C80F2C2624}"/>
    <cellStyle name="Normal 3 2 2" xfId="6" xr:uid="{DD0371F2-D819-4F76-AF01-DE6973D89054}"/>
    <cellStyle name="Normal 3 2 2 2" xfId="22" xr:uid="{AD511478-DE4E-4594-AA2B-053D3CF14699}"/>
    <cellStyle name="Normal 3 2 2 2 2" xfId="45" xr:uid="{BFFBC07C-F43F-49C8-8108-2F7B7B35C2D6}"/>
    <cellStyle name="Normal 3 2 2 2 3" xfId="82" xr:uid="{99945F06-A6E7-46A5-A1D4-6BB04E28A07C}"/>
    <cellStyle name="Normal 3 2 2 3" xfId="29" xr:uid="{2E34329F-AF16-46E8-88A3-844A9C85B18F}"/>
    <cellStyle name="Normal 3 2 2 3 2" xfId="59" xr:uid="{930EEC8F-7616-4142-84A8-734C80CED983}"/>
    <cellStyle name="Normal 3 2 2 3 3" xfId="89" xr:uid="{8AEC037A-79DE-4797-997B-5646698A96DD}"/>
    <cellStyle name="Normal 3 2 2 4" xfId="15" xr:uid="{AF92F15E-038A-4B0D-A506-E17CB7FB03B1}"/>
    <cellStyle name="Normal 3 2 2 4 2" xfId="52" xr:uid="{AB00E970-98CB-4BD5-81E6-830238962DFA}"/>
    <cellStyle name="Normal 3 2 2 4 3" xfId="75" xr:uid="{D39A8F61-2B98-4803-A5CB-1CBDC378C0C3}"/>
    <cellStyle name="Normal 3 2 2 5" xfId="37" xr:uid="{14F8E7C7-34B1-4CED-AE73-852D5141844F}"/>
    <cellStyle name="Normal 3 2 2 6" xfId="67" xr:uid="{79947A40-4A4B-42A5-9154-13615088B203}"/>
    <cellStyle name="Normal 3 2 3" xfId="8" xr:uid="{7FBFD532-9AD9-49B9-816A-D792BBAEDDC1}"/>
    <cellStyle name="Normal 3 2 3 2" xfId="24" xr:uid="{D9CBB665-65FE-401C-BE1D-6F0E01AEA624}"/>
    <cellStyle name="Normal 3 2 3 2 2" xfId="47" xr:uid="{A8D38E52-E30A-456B-B23C-A6B593A4BB74}"/>
    <cellStyle name="Normal 3 2 3 2 3" xfId="84" xr:uid="{9EC4C794-7F47-4662-9D58-69909D9A7861}"/>
    <cellStyle name="Normal 3 2 3 3" xfId="31" xr:uid="{AF54D02E-D4FC-48D3-A621-B99D492A2561}"/>
    <cellStyle name="Normal 3 2 3 3 2" xfId="61" xr:uid="{94E885F4-760A-42F1-B751-29CA64E2D1F9}"/>
    <cellStyle name="Normal 3 2 3 3 3" xfId="91" xr:uid="{E1A14FE5-94F2-4908-85A8-981C51E2132D}"/>
    <cellStyle name="Normal 3 2 3 4" xfId="17" xr:uid="{06F1184E-9572-478D-BE86-152A546E0406}"/>
    <cellStyle name="Normal 3 2 3 4 2" xfId="54" xr:uid="{7B04CCB4-C940-4615-8E00-8B6B7F60F6FE}"/>
    <cellStyle name="Normal 3 2 3 4 3" xfId="77" xr:uid="{B816EFDC-5610-4C73-845E-389A1CDE5D66}"/>
    <cellStyle name="Normal 3 2 3 5" xfId="39" xr:uid="{37D46F77-701F-4AF3-9B77-72767338B257}"/>
    <cellStyle name="Normal 3 2 3 6" xfId="69" xr:uid="{EC16C259-ACFF-4E99-8323-8FA730FA1B04}"/>
    <cellStyle name="Normal 3 2 4" xfId="19" xr:uid="{1CEBA441-CD3B-4230-9845-6E68CD385C6A}"/>
    <cellStyle name="Normal 3 2 4 2" xfId="42" xr:uid="{E78679ED-59EB-4084-BF8A-6141752EC818}"/>
    <cellStyle name="Normal 3 2 4 3" xfId="79" xr:uid="{94E803E4-1BCE-4F99-B1B7-308BECEF9AAF}"/>
    <cellStyle name="Normal 3 2 5" xfId="26" xr:uid="{DC30ED0B-133D-45A0-A094-FCB1B712C30E}"/>
    <cellStyle name="Normal 3 2 5 2" xfId="57" xr:uid="{77814FC2-903E-4DDA-8853-6607B15DB2BC}"/>
    <cellStyle name="Normal 3 2 5 3" xfId="86" xr:uid="{6521C73A-0B05-46A8-87F6-79448715C21B}"/>
    <cellStyle name="Normal 3 2 6" xfId="12" xr:uid="{C60E17C6-8FA9-4824-884C-0A8F579FCBF6}"/>
    <cellStyle name="Normal 3 2 6 2" xfId="49" xr:uid="{D8A8A146-BDB4-4643-B290-0624C1CE688B}"/>
    <cellStyle name="Normal 3 2 6 3" xfId="72" xr:uid="{8DF7E4CA-F63D-42EC-9956-DF7E3119C406}"/>
    <cellStyle name="Normal 3 2 7" xfId="34" xr:uid="{B1541F17-07D8-4DE1-8DF4-E78E5D1C8C44}"/>
    <cellStyle name="Normal 3 2 8" xfId="64" xr:uid="{1CF83F64-C6E2-4D62-B7DE-711A0144DDB3}"/>
    <cellStyle name="Normal 3 3" xfId="3" xr:uid="{E0647A80-D5D8-4315-A031-9DB9C6F8ED5D}"/>
    <cellStyle name="Normal 3 3 2" xfId="10" xr:uid="{FC852060-71B4-499C-B1C0-58EB48410F18}"/>
    <cellStyle name="Normal 3 3 2 2" xfId="20" xr:uid="{82B32A4B-45D8-4455-BB2D-2E2F15FB1F81}"/>
    <cellStyle name="Normal 3 3 2 2 2" xfId="55" xr:uid="{AA920DFE-4109-4C74-938E-BDB5916D41C2}"/>
    <cellStyle name="Normal 3 3 2 2 3" xfId="80" xr:uid="{07DE5778-0B2B-4235-A6E7-8B4EFA621E06}"/>
    <cellStyle name="Normal 3 3 2 3" xfId="32" xr:uid="{7A9A52F2-2B4E-4289-B974-DFAB8908FBEA}"/>
    <cellStyle name="Normal 3 3 2 4" xfId="40" xr:uid="{D0E0DC8D-1EA2-430C-A27E-18E07251E05F}"/>
    <cellStyle name="Normal 3 3 2 5" xfId="70" xr:uid="{70D7DF5B-4E64-4E93-AE28-D87C764C1AAA}"/>
    <cellStyle name="Normal 3 3 3" xfId="27" xr:uid="{578C2477-1305-40E2-89B4-612DEC3DF26A}"/>
    <cellStyle name="Normal 3 3 3 2" xfId="43" xr:uid="{87ACBDC1-0387-4DFA-A9BE-C160A755129B}"/>
    <cellStyle name="Normal 3 3 3 3" xfId="87" xr:uid="{3A20C9F5-BD6A-418D-9696-337BD4ADC082}"/>
    <cellStyle name="Normal 3 3 4" xfId="13" xr:uid="{F88BB24C-3B0A-49A3-A27C-95DFBC034ED8}"/>
    <cellStyle name="Normal 3 3 4 2" xfId="50" xr:uid="{1AED0406-915D-450C-9179-F16F0FEF9E53}"/>
    <cellStyle name="Normal 3 3 4 3" xfId="73" xr:uid="{DA7F95E8-7E76-4040-A592-7C6AB3E96FF3}"/>
    <cellStyle name="Normal 3 3 5" xfId="35" xr:uid="{CD364575-328D-42C8-8427-1B454D98EBF8}"/>
    <cellStyle name="Normal 3 3 6" xfId="65" xr:uid="{CE61914A-3750-46EA-AA69-60F470797B2B}"/>
    <cellStyle name="Normal 3 4" xfId="5" xr:uid="{17C121DB-468B-415C-AC0B-FDBEEE65BDF4}"/>
    <cellStyle name="Normal 3 4 2" xfId="21" xr:uid="{29809A88-8033-419E-B0F9-9FCB2594E779}"/>
    <cellStyle name="Normal 3 4 2 2" xfId="44" xr:uid="{EEE5C4D8-A8D6-4D6C-923C-98376939C6A8}"/>
    <cellStyle name="Normal 3 4 2 3" xfId="81" xr:uid="{50B64FCA-D6D0-48EB-B154-32B2F535D312}"/>
    <cellStyle name="Normal 3 4 3" xfId="28" xr:uid="{F4E57804-C852-41B2-9291-1D602B9BE2A4}"/>
    <cellStyle name="Normal 3 4 3 2" xfId="58" xr:uid="{3145F037-0FB7-4761-BFDC-87C38FE43B03}"/>
    <cellStyle name="Normal 3 4 3 3" xfId="88" xr:uid="{8998FD7D-5961-4456-89AC-001DC699D033}"/>
    <cellStyle name="Normal 3 4 4" xfId="14" xr:uid="{4568E092-B1D7-47FF-9B03-F9CD0DA0EABE}"/>
    <cellStyle name="Normal 3 4 4 2" xfId="51" xr:uid="{78134D03-1B22-45C6-85BA-759D3843A6C4}"/>
    <cellStyle name="Normal 3 4 4 3" xfId="74" xr:uid="{FA515E20-FDFD-4C59-A788-ABBE4B99B851}"/>
    <cellStyle name="Normal 3 4 5" xfId="36" xr:uid="{942D16F4-9A14-4C6E-A692-40F00CDD51D3}"/>
    <cellStyle name="Normal 3 4 6" xfId="66" xr:uid="{5AFF8CC2-C91B-415C-ABA0-C9B2C04E3359}"/>
    <cellStyle name="Normal 3 5" xfId="7" xr:uid="{E2458971-F50D-438A-8CA1-2304CE67FB45}"/>
    <cellStyle name="Normal 3 5 2" xfId="23" xr:uid="{4FE791FD-49E5-40DB-A6B0-8F4DE31500C9}"/>
    <cellStyle name="Normal 3 5 2 2" xfId="46" xr:uid="{7708ED54-8C8E-4748-B21D-05AD856572D5}"/>
    <cellStyle name="Normal 3 5 2 3" xfId="83" xr:uid="{B4494B8F-CB54-4EAC-AA1C-72C7FFB85DAA}"/>
    <cellStyle name="Normal 3 5 3" xfId="30" xr:uid="{88B18014-CD4C-4303-8DAC-E5897AF80D94}"/>
    <cellStyle name="Normal 3 5 3 2" xfId="60" xr:uid="{4706D97B-B40D-4C38-8B2D-7677997DB616}"/>
    <cellStyle name="Normal 3 5 3 3" xfId="90" xr:uid="{FFDEC854-6154-4C09-A5B9-BCD302E11495}"/>
    <cellStyle name="Normal 3 5 4" xfId="16" xr:uid="{48123D96-06E5-41E1-B66F-32218739E9B2}"/>
    <cellStyle name="Normal 3 5 4 2" xfId="53" xr:uid="{C63B27CF-792E-4384-A6B4-533FA3FFA670}"/>
    <cellStyle name="Normal 3 5 4 3" xfId="76" xr:uid="{B3A34EA9-A5BB-4391-9D2E-5982DEEB59F3}"/>
    <cellStyle name="Normal 3 5 5" xfId="38" xr:uid="{AE7FDC31-FE28-4CD7-A388-E97657F5559A}"/>
    <cellStyle name="Normal 3 5 6" xfId="68" xr:uid="{1393B7C3-F33B-4683-ACDB-B54DBC6A4C74}"/>
    <cellStyle name="Normal 3 6" xfId="18" xr:uid="{B2D51DDF-8289-42E9-AABC-9D0ED225DE61}"/>
    <cellStyle name="Normal 3 6 2" xfId="41" xr:uid="{5C213CCE-E91E-4E50-9860-F99340F7AF80}"/>
    <cellStyle name="Normal 3 6 3" xfId="78" xr:uid="{751FF4B8-DC6F-48B2-A8FC-7183B208768A}"/>
    <cellStyle name="Normal 3 7" xfId="25" xr:uid="{CE1C5928-D5C7-43C7-8FC1-F883DAF99A6E}"/>
    <cellStyle name="Normal 3 7 2" xfId="56" xr:uid="{4D540C1D-6919-470A-A05C-EB66055EE3C5}"/>
    <cellStyle name="Normal 3 7 3" xfId="85" xr:uid="{940C96D4-4AA0-4A30-865E-B9A383DACCE0}"/>
    <cellStyle name="Normal 3 8" xfId="11" xr:uid="{4A3734D3-44CC-4776-9565-0FFA522E126C}"/>
    <cellStyle name="Normal 3 8 2" xfId="48" xr:uid="{F273BC17-DD31-4975-96BA-4EF330045282}"/>
    <cellStyle name="Normal 3 8 3" xfId="71" xr:uid="{2E4227AC-AE5A-45F7-BE37-023FA1C153C2}"/>
    <cellStyle name="Normal 3 9" xfId="33" xr:uid="{AB7F2A9C-EEC1-4169-9CD1-D8793C369C3D}"/>
    <cellStyle name="Normal 5" xfId="62" xr:uid="{CA013060-CE1D-47FA-A618-0D7B807D205D}"/>
  </cellStyles>
  <dxfs count="1">
    <dxf>
      <font>
        <strike val="0"/>
      </font>
      <fill>
        <patternFill>
          <bgColor rgb="FFFF0000"/>
        </patternFill>
      </fill>
    </dxf>
  </dxfs>
  <tableStyles count="0" defaultTableStyle="TableStyleMedium2" defaultPivotStyle="PivotStyleLight16"/>
  <colors>
    <mruColors>
      <color rgb="FFFCD5B4"/>
      <color rgb="FFB8CCE4"/>
      <color rgb="FFEBF1DE"/>
      <color rgb="FFC4D79B"/>
      <color rgb="FFDCE6F1"/>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0</xdr:col>
      <xdr:colOff>1697355</xdr:colOff>
      <xdr:row>2</xdr:row>
      <xdr:rowOff>79397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8575" y="9525"/>
          <a:ext cx="1668780" cy="45087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115</v>
      </c>
      <c r="C1" t="s">
        <v>115</v>
      </c>
    </row>
    <row r="2" spans="1:3" x14ac:dyDescent="0.2">
      <c r="A2" t="s">
        <v>116</v>
      </c>
      <c r="C2" t="s">
        <v>116</v>
      </c>
    </row>
    <row r="3" spans="1:3" ht="21" customHeight="1" x14ac:dyDescent="0.2">
      <c r="C3" t="s">
        <v>117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zoomScaleNormal="100" workbookViewId="0">
      <selection activeCell="D1" sqref="D1"/>
    </sheetView>
  </sheetViews>
  <sheetFormatPr defaultColWidth="8.59765625" defaultRowHeight="15" customHeight="1" x14ac:dyDescent="0.2"/>
  <cols>
    <col min="1" max="1" width="19.3984375" style="42" customWidth="1"/>
    <col min="2" max="2" width="8.69921875" style="41"/>
    <col min="3" max="3" width="58.5" style="42" customWidth="1"/>
  </cols>
  <sheetData>
    <row r="1" spans="1:3" ht="15" customHeight="1" x14ac:dyDescent="0.2">
      <c r="A1" s="130"/>
      <c r="B1" s="130"/>
      <c r="C1" s="130"/>
    </row>
    <row r="2" spans="1:3" ht="15" customHeight="1" x14ac:dyDescent="0.2">
      <c r="A2" s="130"/>
      <c r="B2" s="130"/>
      <c r="C2" s="130"/>
    </row>
    <row r="3" spans="1:3" ht="15" customHeight="1" x14ac:dyDescent="0.2">
      <c r="A3" s="130"/>
      <c r="B3" s="130"/>
      <c r="C3" s="130"/>
    </row>
    <row r="4" spans="1:3" ht="15" customHeight="1" x14ac:dyDescent="0.2">
      <c r="A4" s="130"/>
      <c r="B4" s="130"/>
      <c r="C4" s="130"/>
    </row>
    <row r="5" spans="1:3" ht="15" customHeight="1" x14ac:dyDescent="0.2">
      <c r="A5" s="130"/>
      <c r="B5" s="130"/>
      <c r="C5" s="130"/>
    </row>
    <row r="6" spans="1:3" ht="31.5" x14ac:dyDescent="0.5">
      <c r="A6" s="132" t="s">
        <v>1192</v>
      </c>
      <c r="B6" s="132"/>
      <c r="C6" s="132"/>
    </row>
    <row r="7" spans="1:3" ht="15" customHeight="1" x14ac:dyDescent="0.25">
      <c r="A7" s="135" t="s">
        <v>1193</v>
      </c>
      <c r="B7" s="135"/>
      <c r="C7" s="135"/>
    </row>
    <row r="8" spans="1:3" ht="15" customHeight="1" x14ac:dyDescent="0.25">
      <c r="A8" s="135" t="s">
        <v>1191</v>
      </c>
      <c r="B8" s="135"/>
      <c r="C8" s="135"/>
    </row>
    <row r="9" spans="1:3" ht="15" customHeight="1" x14ac:dyDescent="0.25">
      <c r="A9" s="135" t="s">
        <v>1202</v>
      </c>
      <c r="B9" s="135"/>
      <c r="C9" s="135"/>
    </row>
    <row r="10" spans="1:3" ht="15" customHeight="1" x14ac:dyDescent="0.25">
      <c r="A10" s="135"/>
      <c r="B10" s="135"/>
      <c r="C10" s="135"/>
    </row>
    <row r="11" spans="1:3" ht="15" customHeight="1" x14ac:dyDescent="0.2">
      <c r="A11" s="130"/>
      <c r="B11" s="130"/>
      <c r="C11" s="130"/>
    </row>
    <row r="12" spans="1:3" ht="15" customHeight="1" x14ac:dyDescent="0.2">
      <c r="A12" s="134" t="s">
        <v>1190</v>
      </c>
      <c r="B12" s="134"/>
      <c r="C12" s="134"/>
    </row>
    <row r="13" spans="1:3" ht="63.75" customHeight="1" x14ac:dyDescent="0.2">
      <c r="A13" s="133" t="s">
        <v>656</v>
      </c>
      <c r="B13" s="133"/>
      <c r="C13" s="133"/>
    </row>
    <row r="14" spans="1:3" ht="15" customHeight="1" x14ac:dyDescent="0.2">
      <c r="A14" s="136"/>
      <c r="B14" s="136"/>
      <c r="C14" s="136"/>
    </row>
    <row r="15" spans="1:3" ht="15" customHeight="1" x14ac:dyDescent="0.2">
      <c r="A15" s="131"/>
      <c r="B15" s="131"/>
      <c r="C15" s="131"/>
    </row>
    <row r="16" spans="1:3" ht="15" customHeight="1" thickBot="1" x14ac:dyDescent="0.3">
      <c r="A16" s="129" t="s">
        <v>567</v>
      </c>
      <c r="B16" s="129"/>
      <c r="C16" s="129"/>
    </row>
    <row r="17" spans="1:3" ht="15" customHeight="1" thickBot="1" x14ac:dyDescent="0.3">
      <c r="A17" s="44" t="s">
        <v>568</v>
      </c>
      <c r="B17" s="45" t="s">
        <v>569</v>
      </c>
      <c r="C17" s="51" t="s">
        <v>578</v>
      </c>
    </row>
    <row r="18" spans="1:3" ht="15" customHeight="1" thickBot="1" x14ac:dyDescent="0.3">
      <c r="A18" s="46">
        <v>43958</v>
      </c>
      <c r="B18" s="60">
        <v>1</v>
      </c>
      <c r="C18" s="48" t="s">
        <v>580</v>
      </c>
    </row>
    <row r="19" spans="1:3" ht="15" customHeight="1" thickBot="1" x14ac:dyDescent="0.3">
      <c r="A19" s="46">
        <v>44095</v>
      </c>
      <c r="B19" s="47">
        <v>1.1000000000000001</v>
      </c>
      <c r="C19" s="52" t="s">
        <v>581</v>
      </c>
    </row>
    <row r="20" spans="1:3" ht="15" customHeight="1" thickBot="1" x14ac:dyDescent="0.25">
      <c r="A20" s="62">
        <v>44351</v>
      </c>
      <c r="B20" s="57">
        <v>2</v>
      </c>
      <c r="C20" s="93" t="s">
        <v>617</v>
      </c>
    </row>
    <row r="21" spans="1:3" ht="15" customHeight="1" thickBot="1" x14ac:dyDescent="0.25">
      <c r="A21" s="62">
        <v>44715</v>
      </c>
      <c r="B21" s="66">
        <v>3</v>
      </c>
      <c r="C21" s="93" t="s">
        <v>618</v>
      </c>
    </row>
    <row r="22" spans="1:3" ht="15" customHeight="1" thickBot="1" x14ac:dyDescent="0.25">
      <c r="A22" s="62">
        <v>45079</v>
      </c>
      <c r="B22" s="66">
        <v>4</v>
      </c>
      <c r="C22" s="93" t="s">
        <v>619</v>
      </c>
    </row>
    <row r="23" spans="1:3" ht="15" customHeight="1" thickBot="1" x14ac:dyDescent="0.25">
      <c r="A23" s="62">
        <v>45433</v>
      </c>
      <c r="B23" s="66">
        <v>5</v>
      </c>
      <c r="C23" s="93" t="s">
        <v>653</v>
      </c>
    </row>
    <row r="24" spans="1:3" ht="15" customHeight="1" x14ac:dyDescent="0.25">
      <c r="A24" s="90" t="s">
        <v>616</v>
      </c>
    </row>
  </sheetData>
  <mergeCells count="16">
    <mergeCell ref="A16:C16"/>
    <mergeCell ref="A1:C1"/>
    <mergeCell ref="A2:C2"/>
    <mergeCell ref="A3:C3"/>
    <mergeCell ref="A5:C5"/>
    <mergeCell ref="A4:C4"/>
    <mergeCell ref="A15:C15"/>
    <mergeCell ref="A6:C6"/>
    <mergeCell ref="A13:C13"/>
    <mergeCell ref="A12:C12"/>
    <mergeCell ref="A7:C7"/>
    <mergeCell ref="A8:C8"/>
    <mergeCell ref="A9:C9"/>
    <mergeCell ref="A10:C10"/>
    <mergeCell ref="A11:C11"/>
    <mergeCell ref="A14:C14"/>
  </mergeCells>
  <phoneticPr fontId="39"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2"/>
  <sheetViews>
    <sheetView zoomScaleNormal="100" workbookViewId="0">
      <selection activeCell="D1" sqref="D1"/>
    </sheetView>
  </sheetViews>
  <sheetFormatPr defaultColWidth="8.59765625" defaultRowHeight="15" x14ac:dyDescent="0.2"/>
  <cols>
    <col min="1" max="1" width="19.3984375" style="42" customWidth="1"/>
    <col min="2" max="2" width="8.59765625" style="41"/>
    <col min="3" max="3" width="58.5" style="42" customWidth="1"/>
  </cols>
  <sheetData>
    <row r="1" spans="1:3" ht="21" x14ac:dyDescent="0.25">
      <c r="A1" s="98" t="s">
        <v>1190</v>
      </c>
      <c r="C1" s="63"/>
    </row>
    <row r="2" spans="1:3" ht="15.75" x14ac:dyDescent="0.25">
      <c r="A2" s="95" t="s">
        <v>654</v>
      </c>
    </row>
    <row r="3" spans="1:3" x14ac:dyDescent="0.2">
      <c r="A3" s="130"/>
      <c r="B3" s="130"/>
      <c r="C3" s="130"/>
    </row>
    <row r="4" spans="1:3" ht="28.5" x14ac:dyDescent="0.45">
      <c r="A4" s="137" t="s">
        <v>621</v>
      </c>
      <c r="B4" s="137"/>
      <c r="C4" s="137"/>
    </row>
    <row r="5" spans="1:3" ht="15.75" thickBot="1" x14ac:dyDescent="0.3">
      <c r="A5" s="90" t="s">
        <v>620</v>
      </c>
      <c r="B5" s="43"/>
      <c r="C5" s="43"/>
    </row>
    <row r="6" spans="1:3" ht="15.75" thickBot="1" x14ac:dyDescent="0.3">
      <c r="A6" s="92" t="s">
        <v>568</v>
      </c>
      <c r="B6" s="89" t="s">
        <v>569</v>
      </c>
      <c r="C6" s="89" t="s">
        <v>578</v>
      </c>
    </row>
    <row r="7" spans="1:3" ht="15.75" thickBot="1" x14ac:dyDescent="0.3">
      <c r="A7" s="87">
        <v>43958</v>
      </c>
      <c r="B7" s="91">
        <v>1</v>
      </c>
      <c r="C7" s="88" t="s">
        <v>580</v>
      </c>
    </row>
    <row r="8" spans="1:3" ht="15.75" thickBot="1" x14ac:dyDescent="0.3">
      <c r="A8" s="87">
        <v>44095</v>
      </c>
      <c r="B8" s="86">
        <v>1.1000000000000001</v>
      </c>
      <c r="C8" s="88" t="s">
        <v>581</v>
      </c>
    </row>
    <row r="9" spans="1:3" ht="210.75" thickBot="1" x14ac:dyDescent="0.25">
      <c r="A9" s="62">
        <v>44351</v>
      </c>
      <c r="B9" s="66">
        <v>2</v>
      </c>
      <c r="C9" s="93" t="s">
        <v>623</v>
      </c>
    </row>
    <row r="10" spans="1:3" ht="180.75" thickBot="1" x14ac:dyDescent="0.25">
      <c r="A10" s="62">
        <v>44715</v>
      </c>
      <c r="B10" s="66">
        <v>3</v>
      </c>
      <c r="C10" s="93" t="s">
        <v>628</v>
      </c>
    </row>
    <row r="11" spans="1:3" ht="255.75" thickBot="1" x14ac:dyDescent="0.25">
      <c r="A11" s="62">
        <v>45079</v>
      </c>
      <c r="B11" s="66">
        <v>4</v>
      </c>
      <c r="C11" s="93" t="s">
        <v>629</v>
      </c>
    </row>
    <row r="12" spans="1:3" ht="135.75" thickBot="1" x14ac:dyDescent="0.25">
      <c r="A12" s="62">
        <v>45433</v>
      </c>
      <c r="B12" s="66">
        <v>5</v>
      </c>
      <c r="C12" s="93" t="s">
        <v>1181</v>
      </c>
    </row>
  </sheetData>
  <mergeCells count="2">
    <mergeCell ref="A4:C4"/>
    <mergeCell ref="A3:C3"/>
  </mergeCells>
  <phoneticPr fontId="3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76"/>
  <sheetViews>
    <sheetView tabSelected="1" zoomScale="80" zoomScaleNormal="80" workbookViewId="0">
      <pane ySplit="1" topLeftCell="A206" activePane="bottomLeft" state="frozen"/>
      <selection pane="bottomLeft" activeCell="C230" sqref="C230"/>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29" bestFit="1" customWidth="1"/>
    <col min="9" max="9" width="18.5" style="29" customWidth="1"/>
    <col min="10" max="10" width="9.19921875" style="84" bestFit="1" customWidth="1"/>
    <col min="11" max="11" width="8.796875" style="84" bestFit="1" customWidth="1"/>
    <col min="12" max="12" width="7.69921875" style="85" customWidth="1"/>
    <col min="13" max="15" width="7.3984375" style="1" bestFit="1" customWidth="1"/>
    <col min="16" max="16" width="8.19921875" style="1" customWidth="1"/>
    <col min="17" max="17" width="7.19921875" style="1" customWidth="1"/>
    <col min="18" max="18" width="7.8984375" style="1" customWidth="1"/>
    <col min="19" max="19" width="10.09765625" style="1" customWidth="1"/>
    <col min="20" max="20" width="13" style="1" customWidth="1"/>
    <col min="21" max="21" width="9.3984375" style="1" customWidth="1"/>
    <col min="22" max="22" width="12.59765625" style="1" customWidth="1"/>
    <col min="23" max="176" width="6.59765625" style="1" customWidth="1"/>
  </cols>
  <sheetData>
    <row r="1" spans="1:12" ht="62.25" customHeight="1" x14ac:dyDescent="0.2">
      <c r="A1" s="157" t="s">
        <v>1189</v>
      </c>
      <c r="B1" s="157"/>
      <c r="C1" s="157"/>
      <c r="D1" s="157"/>
      <c r="E1" s="157"/>
      <c r="F1" s="157"/>
      <c r="G1" s="94" t="s">
        <v>1194</v>
      </c>
      <c r="H1" s="128" t="s">
        <v>1201</v>
      </c>
      <c r="I1" s="28"/>
      <c r="J1" s="67" t="s">
        <v>611</v>
      </c>
      <c r="K1" s="68" t="s">
        <v>612</v>
      </c>
      <c r="L1" s="69" t="s">
        <v>613</v>
      </c>
    </row>
    <row r="2" spans="1:12" ht="29.1" customHeight="1" x14ac:dyDescent="0.2">
      <c r="A2" s="140" t="s">
        <v>575</v>
      </c>
      <c r="B2" s="141"/>
      <c r="C2" s="166" t="s">
        <v>0</v>
      </c>
      <c r="D2" s="167"/>
      <c r="E2" s="167"/>
      <c r="F2" s="167"/>
      <c r="G2" s="167"/>
      <c r="H2" s="167"/>
      <c r="I2" s="168"/>
      <c r="J2" s="70"/>
      <c r="K2" s="71"/>
      <c r="L2" s="72"/>
    </row>
    <row r="3" spans="1:12" ht="36" customHeight="1" x14ac:dyDescent="0.2">
      <c r="A3" s="142" t="s">
        <v>1</v>
      </c>
      <c r="B3" s="143"/>
      <c r="C3" s="143"/>
      <c r="D3" s="143"/>
      <c r="E3" s="143"/>
      <c r="F3" s="143"/>
      <c r="G3" s="143"/>
      <c r="H3" s="143"/>
      <c r="I3" s="144"/>
      <c r="J3" s="73"/>
      <c r="K3" s="74"/>
      <c r="L3" s="75"/>
    </row>
    <row r="4" spans="1:12" ht="246.75" customHeight="1" x14ac:dyDescent="0.2">
      <c r="A4" s="169" t="s">
        <v>630</v>
      </c>
      <c r="B4" s="170"/>
      <c r="C4" s="170"/>
      <c r="D4" s="170"/>
      <c r="E4" s="170"/>
      <c r="F4" s="170"/>
      <c r="G4" s="170"/>
      <c r="H4" s="170"/>
      <c r="I4" s="171"/>
      <c r="J4" s="76"/>
      <c r="K4" s="77"/>
      <c r="L4" s="72"/>
    </row>
    <row r="5" spans="1:12" ht="24" customHeight="1" x14ac:dyDescent="0.2">
      <c r="A5" s="163" t="s">
        <v>546</v>
      </c>
      <c r="B5" s="164"/>
      <c r="C5" s="164"/>
      <c r="D5" s="164"/>
      <c r="E5" s="164"/>
      <c r="F5" s="164"/>
      <c r="G5" s="164"/>
      <c r="H5" s="164"/>
      <c r="I5" s="165"/>
      <c r="J5" s="191" t="s">
        <v>614</v>
      </c>
      <c r="K5" s="191"/>
      <c r="L5" s="78">
        <f>SUM(L45,L60,L76,L90,L120,L141,L156,L181,L207,L220,L231,L258,L275)</f>
        <v>0</v>
      </c>
    </row>
    <row r="6" spans="1:12" ht="17.25" customHeight="1" x14ac:dyDescent="0.2">
      <c r="A6" s="21" t="s">
        <v>2</v>
      </c>
      <c r="B6" s="33" t="s">
        <v>549</v>
      </c>
      <c r="C6" s="160" t="s">
        <v>549</v>
      </c>
      <c r="D6" s="161"/>
      <c r="E6" s="161"/>
      <c r="F6" s="161"/>
      <c r="G6" s="161"/>
      <c r="H6" s="161"/>
      <c r="I6" s="162"/>
      <c r="J6" s="76"/>
      <c r="K6" s="77"/>
      <c r="L6" s="72"/>
    </row>
    <row r="7" spans="1:12" ht="22.35" customHeight="1" x14ac:dyDescent="0.2">
      <c r="A7" s="21" t="s">
        <v>3</v>
      </c>
      <c r="B7" s="33" t="s">
        <v>550</v>
      </c>
      <c r="C7" s="160" t="s">
        <v>551</v>
      </c>
      <c r="D7" s="161"/>
      <c r="E7" s="161"/>
      <c r="F7" s="161"/>
      <c r="G7" s="161"/>
      <c r="H7" s="161"/>
      <c r="I7" s="162"/>
      <c r="J7" s="76"/>
      <c r="K7" s="77"/>
      <c r="L7" s="72"/>
    </row>
    <row r="8" spans="1:12" ht="22.35" customHeight="1" x14ac:dyDescent="0.2">
      <c r="A8" s="21" t="s">
        <v>4</v>
      </c>
      <c r="B8" s="33" t="s">
        <v>363</v>
      </c>
      <c r="C8" s="172" t="s">
        <v>363</v>
      </c>
      <c r="D8" s="149"/>
      <c r="E8" s="149"/>
      <c r="F8" s="149"/>
      <c r="G8" s="149"/>
      <c r="H8" s="149"/>
      <c r="I8" s="150"/>
      <c r="J8" s="76"/>
      <c r="K8" s="77"/>
      <c r="L8" s="72"/>
    </row>
    <row r="9" spans="1:12" ht="22.35" customHeight="1" x14ac:dyDescent="0.2">
      <c r="A9" s="21" t="s">
        <v>5</v>
      </c>
      <c r="B9" s="33" t="s">
        <v>364</v>
      </c>
      <c r="C9" s="172" t="s">
        <v>364</v>
      </c>
      <c r="D9" s="173"/>
      <c r="E9" s="173"/>
      <c r="F9" s="173"/>
      <c r="G9" s="173"/>
      <c r="H9" s="173"/>
      <c r="I9" s="174"/>
      <c r="J9" s="76"/>
      <c r="K9" s="77"/>
      <c r="L9" s="72"/>
    </row>
    <row r="10" spans="1:12" ht="22.35" customHeight="1" x14ac:dyDescent="0.2">
      <c r="A10" s="21" t="s">
        <v>7</v>
      </c>
      <c r="B10" s="33" t="s">
        <v>365</v>
      </c>
      <c r="C10" s="172" t="s">
        <v>365</v>
      </c>
      <c r="D10" s="173"/>
      <c r="E10" s="173"/>
      <c r="F10" s="173"/>
      <c r="G10" s="173"/>
      <c r="H10" s="173"/>
      <c r="I10" s="174"/>
      <c r="J10" s="76"/>
      <c r="K10" s="77"/>
      <c r="L10" s="72"/>
    </row>
    <row r="11" spans="1:12" ht="22.35" customHeight="1" x14ac:dyDescent="0.2">
      <c r="A11" s="21" t="s">
        <v>8</v>
      </c>
      <c r="B11" s="33" t="s">
        <v>366</v>
      </c>
      <c r="C11" s="172" t="s">
        <v>366</v>
      </c>
      <c r="D11" s="173"/>
      <c r="E11" s="173"/>
      <c r="F11" s="173"/>
      <c r="G11" s="173"/>
      <c r="H11" s="173"/>
      <c r="I11" s="174"/>
      <c r="J11" s="76"/>
      <c r="K11" s="77"/>
      <c r="L11" s="72"/>
    </row>
    <row r="12" spans="1:12" ht="22.35" customHeight="1" x14ac:dyDescent="0.2">
      <c r="A12" s="21" t="s">
        <v>9</v>
      </c>
      <c r="B12" s="33" t="s">
        <v>125</v>
      </c>
      <c r="C12" s="172" t="s">
        <v>126</v>
      </c>
      <c r="D12" s="173"/>
      <c r="E12" s="173"/>
      <c r="F12" s="173"/>
      <c r="G12" s="173"/>
      <c r="H12" s="173"/>
      <c r="I12" s="174"/>
      <c r="J12" s="76"/>
      <c r="K12" s="77"/>
      <c r="L12" s="72"/>
    </row>
    <row r="13" spans="1:12" ht="22.35" customHeight="1" x14ac:dyDescent="0.2">
      <c r="A13" s="21" t="s">
        <v>10</v>
      </c>
      <c r="B13" s="33" t="s">
        <v>127</v>
      </c>
      <c r="C13" s="172" t="s">
        <v>128</v>
      </c>
      <c r="D13" s="173"/>
      <c r="E13" s="173"/>
      <c r="F13" s="173"/>
      <c r="G13" s="173"/>
      <c r="H13" s="173"/>
      <c r="I13" s="174"/>
      <c r="J13" s="76"/>
      <c r="K13" s="77"/>
      <c r="L13" s="72"/>
    </row>
    <row r="14" spans="1:12" ht="22.35" customHeight="1" x14ac:dyDescent="0.2">
      <c r="A14" s="21" t="s">
        <v>12</v>
      </c>
      <c r="B14" s="33" t="s">
        <v>6</v>
      </c>
      <c r="C14" s="172" t="s">
        <v>547</v>
      </c>
      <c r="D14" s="173"/>
      <c r="E14" s="173"/>
      <c r="F14" s="173"/>
      <c r="G14" s="173"/>
      <c r="H14" s="173"/>
      <c r="I14" s="174"/>
      <c r="J14" s="76"/>
      <c r="K14" s="77"/>
      <c r="L14" s="72"/>
    </row>
    <row r="15" spans="1:12" ht="22.35" customHeight="1" x14ac:dyDescent="0.2">
      <c r="A15" s="21" t="s">
        <v>13</v>
      </c>
      <c r="B15" s="33" t="s">
        <v>552</v>
      </c>
      <c r="C15" s="172" t="s">
        <v>137</v>
      </c>
      <c r="D15" s="173"/>
      <c r="E15" s="173"/>
      <c r="F15" s="173"/>
      <c r="G15" s="173"/>
      <c r="H15" s="173"/>
      <c r="I15" s="174"/>
      <c r="J15" s="76"/>
      <c r="K15" s="77"/>
      <c r="L15" s="72"/>
    </row>
    <row r="16" spans="1:12" ht="22.35" customHeight="1" x14ac:dyDescent="0.2">
      <c r="A16" s="21" t="s">
        <v>14</v>
      </c>
      <c r="B16" s="33" t="s">
        <v>553</v>
      </c>
      <c r="C16" s="172" t="s">
        <v>134</v>
      </c>
      <c r="D16" s="173"/>
      <c r="E16" s="173"/>
      <c r="F16" s="173"/>
      <c r="G16" s="173"/>
      <c r="H16" s="173"/>
      <c r="I16" s="174"/>
      <c r="J16" s="76"/>
      <c r="K16" s="77"/>
      <c r="L16" s="72"/>
    </row>
    <row r="17" spans="1:12" ht="31.5" customHeight="1" x14ac:dyDescent="0.2">
      <c r="A17" s="21" t="s">
        <v>15</v>
      </c>
      <c r="B17" s="33" t="s">
        <v>367</v>
      </c>
      <c r="C17" s="172" t="s">
        <v>627</v>
      </c>
      <c r="D17" s="173"/>
      <c r="E17" s="173"/>
      <c r="F17" s="173"/>
      <c r="G17" s="173"/>
      <c r="H17" s="173"/>
      <c r="I17" s="174"/>
      <c r="J17" s="76"/>
      <c r="K17" s="77"/>
      <c r="L17" s="72"/>
    </row>
    <row r="18" spans="1:12" ht="22.35" customHeight="1" x14ac:dyDescent="0.2">
      <c r="A18" s="21" t="s">
        <v>368</v>
      </c>
      <c r="B18" s="33" t="s">
        <v>554</v>
      </c>
      <c r="C18" s="172" t="s">
        <v>555</v>
      </c>
      <c r="D18" s="173"/>
      <c r="E18" s="173"/>
      <c r="F18" s="173"/>
      <c r="G18" s="173"/>
      <c r="H18" s="173"/>
      <c r="I18" s="174"/>
      <c r="J18" s="76"/>
      <c r="K18" s="77"/>
      <c r="L18" s="72"/>
    </row>
    <row r="19" spans="1:12" ht="22.35" customHeight="1" x14ac:dyDescent="0.2">
      <c r="A19" s="21" t="s">
        <v>369</v>
      </c>
      <c r="B19" s="33" t="s">
        <v>556</v>
      </c>
      <c r="C19" s="172" t="s">
        <v>556</v>
      </c>
      <c r="D19" s="173"/>
      <c r="E19" s="173"/>
      <c r="F19" s="173"/>
      <c r="G19" s="173"/>
      <c r="H19" s="173"/>
      <c r="I19" s="174"/>
      <c r="J19" s="76"/>
      <c r="K19" s="77"/>
      <c r="L19" s="72"/>
    </row>
    <row r="20" spans="1:12" ht="22.35" customHeight="1" x14ac:dyDescent="0.2">
      <c r="A20" s="21" t="s">
        <v>370</v>
      </c>
      <c r="B20" s="33" t="s">
        <v>557</v>
      </c>
      <c r="C20" s="172" t="s">
        <v>558</v>
      </c>
      <c r="D20" s="173"/>
      <c r="E20" s="173"/>
      <c r="F20" s="173"/>
      <c r="G20" s="173"/>
      <c r="H20" s="173"/>
      <c r="I20" s="174"/>
      <c r="J20" s="76"/>
      <c r="K20" s="77"/>
      <c r="L20" s="72"/>
    </row>
    <row r="21" spans="1:12" ht="22.35" customHeight="1" x14ac:dyDescent="0.2">
      <c r="A21" s="21" t="s">
        <v>371</v>
      </c>
      <c r="B21" s="33" t="s">
        <v>559</v>
      </c>
      <c r="C21" s="160" t="s">
        <v>559</v>
      </c>
      <c r="D21" s="161"/>
      <c r="E21" s="161"/>
      <c r="F21" s="161"/>
      <c r="G21" s="161"/>
      <c r="H21" s="161"/>
      <c r="I21" s="162"/>
      <c r="J21" s="76"/>
      <c r="K21" s="77"/>
      <c r="L21" s="72"/>
    </row>
    <row r="22" spans="1:12" ht="22.35" customHeight="1" x14ac:dyDescent="0.2">
      <c r="A22" s="21" t="s">
        <v>372</v>
      </c>
      <c r="B22" s="33" t="s">
        <v>560</v>
      </c>
      <c r="C22" s="160" t="s">
        <v>560</v>
      </c>
      <c r="D22" s="161"/>
      <c r="E22" s="161"/>
      <c r="F22" s="161"/>
      <c r="G22" s="161"/>
      <c r="H22" s="161"/>
      <c r="I22" s="162"/>
      <c r="J22" s="76"/>
      <c r="K22" s="77"/>
      <c r="L22" s="72"/>
    </row>
    <row r="23" spans="1:12" ht="22.35" customHeight="1" x14ac:dyDescent="0.2">
      <c r="A23" s="21" t="s">
        <v>373</v>
      </c>
      <c r="B23" s="33" t="s">
        <v>561</v>
      </c>
      <c r="C23" s="160" t="s">
        <v>562</v>
      </c>
      <c r="D23" s="161"/>
      <c r="E23" s="161"/>
      <c r="F23" s="161"/>
      <c r="G23" s="161"/>
      <c r="H23" s="161"/>
      <c r="I23" s="162"/>
      <c r="J23" s="76"/>
      <c r="K23" s="77"/>
      <c r="L23" s="72"/>
    </row>
    <row r="24" spans="1:12" ht="22.35" customHeight="1" x14ac:dyDescent="0.2">
      <c r="A24" s="21" t="s">
        <v>374</v>
      </c>
      <c r="B24" s="33" t="s">
        <v>563</v>
      </c>
      <c r="C24" s="160" t="s">
        <v>11</v>
      </c>
      <c r="D24" s="161"/>
      <c r="E24" s="161"/>
      <c r="F24" s="161"/>
      <c r="G24" s="161"/>
      <c r="H24" s="161"/>
      <c r="I24" s="162"/>
      <c r="J24" s="76"/>
      <c r="K24" s="77"/>
      <c r="L24" s="72"/>
    </row>
    <row r="25" spans="1:12" s="1" customFormat="1" ht="22.35" customHeight="1" x14ac:dyDescent="0.2">
      <c r="A25" s="163" t="s">
        <v>588</v>
      </c>
      <c r="B25" s="164"/>
      <c r="C25" s="164"/>
      <c r="D25" s="164"/>
      <c r="E25" s="164"/>
      <c r="F25" s="164"/>
      <c r="G25" s="164"/>
      <c r="H25" s="164"/>
      <c r="I25" s="165"/>
      <c r="J25" s="76"/>
      <c r="K25" s="77"/>
      <c r="L25" s="72"/>
    </row>
    <row r="26" spans="1:12" s="1" customFormat="1" ht="22.35" customHeight="1" x14ac:dyDescent="0.2">
      <c r="A26" s="158" t="s">
        <v>98</v>
      </c>
      <c r="B26" s="158"/>
      <c r="C26" s="158"/>
      <c r="D26" s="158"/>
      <c r="E26" s="158"/>
      <c r="F26" s="158"/>
      <c r="G26" s="158"/>
      <c r="H26" s="30"/>
      <c r="I26" s="31"/>
      <c r="J26" s="76"/>
      <c r="K26" s="77"/>
      <c r="L26" s="72"/>
    </row>
    <row r="27" spans="1:12" s="1" customFormat="1" ht="20.100000000000001" customHeight="1" x14ac:dyDescent="0.2">
      <c r="A27" s="8"/>
      <c r="B27" s="9" t="s">
        <v>92</v>
      </c>
      <c r="C27" s="9"/>
      <c r="D27" s="9"/>
      <c r="E27" s="9"/>
      <c r="F27" s="9"/>
      <c r="G27" s="9"/>
      <c r="H27" s="9"/>
      <c r="I27" s="27"/>
      <c r="J27" s="76"/>
      <c r="K27" s="77"/>
      <c r="L27" s="72"/>
    </row>
    <row r="28" spans="1:12" s="1" customFormat="1" ht="20.100000000000001" customHeight="1" x14ac:dyDescent="0.2">
      <c r="A28" s="8"/>
      <c r="B28" s="9" t="s">
        <v>93</v>
      </c>
      <c r="C28" s="9"/>
      <c r="D28" s="9"/>
      <c r="E28" s="9"/>
      <c r="F28" s="9"/>
      <c r="G28" s="9"/>
      <c r="H28" s="9"/>
      <c r="I28" s="27"/>
      <c r="J28" s="76"/>
      <c r="K28" s="77"/>
      <c r="L28" s="72"/>
    </row>
    <row r="29" spans="1:12" s="1" customFormat="1" ht="20.100000000000001" customHeight="1" x14ac:dyDescent="0.2">
      <c r="A29" s="8"/>
      <c r="B29" s="9" t="s">
        <v>94</v>
      </c>
      <c r="C29" s="9"/>
      <c r="D29" s="9"/>
      <c r="E29" s="9"/>
      <c r="F29" s="9"/>
      <c r="G29" s="9"/>
      <c r="H29" s="9"/>
      <c r="I29" s="27"/>
      <c r="J29" s="76"/>
      <c r="K29" s="77"/>
      <c r="L29" s="72"/>
    </row>
    <row r="30" spans="1:12" s="1" customFormat="1" ht="20.100000000000001" customHeight="1" x14ac:dyDescent="0.2">
      <c r="A30" s="8"/>
      <c r="B30" s="58" t="s">
        <v>584</v>
      </c>
      <c r="C30" s="9"/>
      <c r="D30" s="9"/>
      <c r="E30" s="9"/>
      <c r="F30" s="9"/>
      <c r="G30" s="9"/>
      <c r="H30" s="9"/>
      <c r="I30" s="27"/>
      <c r="J30" s="76"/>
      <c r="K30" s="77"/>
      <c r="L30" s="72"/>
    </row>
    <row r="31" spans="1:12" s="1" customFormat="1" ht="20.100000000000001" customHeight="1" x14ac:dyDescent="0.2">
      <c r="A31" s="8"/>
      <c r="B31" s="58" t="s">
        <v>624</v>
      </c>
      <c r="C31" s="9"/>
      <c r="D31" s="9"/>
      <c r="E31" s="9"/>
      <c r="F31" s="9"/>
      <c r="G31" s="9"/>
      <c r="H31" s="9"/>
      <c r="I31" s="27"/>
      <c r="J31" s="76"/>
      <c r="K31" s="77"/>
      <c r="L31" s="72"/>
    </row>
    <row r="32" spans="1:12" s="1" customFormat="1" ht="20.100000000000001" customHeight="1" x14ac:dyDescent="0.2">
      <c r="A32" s="8"/>
      <c r="B32" s="58" t="s">
        <v>582</v>
      </c>
      <c r="C32" s="9"/>
      <c r="D32" s="9"/>
      <c r="E32" s="9"/>
      <c r="F32" s="9"/>
      <c r="G32" s="9"/>
      <c r="H32" s="9"/>
      <c r="I32" s="27"/>
      <c r="J32" s="76"/>
      <c r="K32" s="77"/>
      <c r="L32" s="72"/>
    </row>
    <row r="33" spans="1:22" s="1" customFormat="1" ht="20.100000000000001" customHeight="1" x14ac:dyDescent="0.2">
      <c r="A33" s="8"/>
      <c r="B33" s="58" t="s">
        <v>591</v>
      </c>
      <c r="C33" s="9"/>
      <c r="D33" s="9"/>
      <c r="E33" s="9"/>
      <c r="F33" s="9"/>
      <c r="G33" s="9"/>
      <c r="H33" s="9"/>
      <c r="I33" s="27"/>
      <c r="J33" s="76"/>
      <c r="K33" s="77"/>
      <c r="L33" s="72"/>
    </row>
    <row r="34" spans="1:22" s="1" customFormat="1" ht="20.100000000000001" customHeight="1" x14ac:dyDescent="0.2">
      <c r="A34" s="8"/>
      <c r="B34" s="9" t="s">
        <v>476</v>
      </c>
      <c r="C34" s="9"/>
      <c r="D34" s="9"/>
      <c r="E34" s="9"/>
      <c r="F34" s="9"/>
      <c r="G34" s="9"/>
      <c r="H34" s="9"/>
      <c r="I34" s="27"/>
      <c r="J34" s="76"/>
      <c r="K34" s="77"/>
      <c r="L34" s="72"/>
    </row>
    <row r="35" spans="1:22" s="1" customFormat="1" ht="20.100000000000001" customHeight="1" x14ac:dyDescent="0.2">
      <c r="A35" s="8"/>
      <c r="B35" s="9" t="s">
        <v>95</v>
      </c>
      <c r="C35" s="9"/>
      <c r="D35" s="9"/>
      <c r="E35" s="9"/>
      <c r="F35" s="9"/>
      <c r="G35" s="9"/>
      <c r="H35" s="9"/>
      <c r="I35" s="27"/>
      <c r="J35" s="76"/>
      <c r="K35" s="77"/>
      <c r="L35" s="72"/>
    </row>
    <row r="36" spans="1:22" s="1" customFormat="1" ht="20.100000000000001" customHeight="1" x14ac:dyDescent="0.2">
      <c r="A36" s="8"/>
      <c r="B36" s="9" t="s">
        <v>96</v>
      </c>
      <c r="C36" s="9"/>
      <c r="D36" s="9"/>
      <c r="E36" s="9"/>
      <c r="F36" s="9"/>
      <c r="G36" s="9"/>
      <c r="H36" s="9"/>
      <c r="I36" s="27"/>
      <c r="J36" s="76"/>
      <c r="K36" s="77"/>
      <c r="L36" s="72"/>
    </row>
    <row r="37" spans="1:22" s="1" customFormat="1" ht="20.100000000000001" customHeight="1" x14ac:dyDescent="0.2">
      <c r="A37" s="8"/>
      <c r="B37" s="9" t="s">
        <v>97</v>
      </c>
      <c r="C37" s="9"/>
      <c r="D37" s="9"/>
      <c r="E37" s="9"/>
      <c r="F37" s="9"/>
      <c r="G37" s="9"/>
      <c r="H37" s="9"/>
      <c r="I37" s="27"/>
      <c r="J37" s="76"/>
      <c r="K37" s="77"/>
      <c r="L37" s="72"/>
    </row>
    <row r="38" spans="1:22" s="1" customFormat="1" ht="20.100000000000001" customHeight="1" x14ac:dyDescent="0.2">
      <c r="A38" s="8"/>
      <c r="B38" s="9" t="s">
        <v>477</v>
      </c>
      <c r="C38" s="9"/>
      <c r="D38" s="9"/>
      <c r="E38" s="9"/>
      <c r="F38" s="9"/>
      <c r="G38" s="9"/>
      <c r="H38" s="9"/>
      <c r="I38" s="27"/>
      <c r="J38" s="76"/>
      <c r="K38" s="77"/>
      <c r="L38" s="72"/>
    </row>
    <row r="39" spans="1:22" s="1" customFormat="1" ht="20.100000000000001" customHeight="1" x14ac:dyDescent="0.2">
      <c r="A39" s="8"/>
      <c r="B39" s="159" t="s">
        <v>579</v>
      </c>
      <c r="C39" s="159"/>
      <c r="D39" s="159"/>
      <c r="E39" s="159"/>
      <c r="F39" s="159"/>
      <c r="G39" s="159"/>
      <c r="H39" s="9"/>
      <c r="I39" s="27"/>
      <c r="J39" s="76"/>
      <c r="K39" s="77"/>
      <c r="L39" s="72"/>
    </row>
    <row r="40" spans="1:22" s="1" customFormat="1" ht="75" customHeight="1" x14ac:dyDescent="0.2">
      <c r="A40" s="8"/>
      <c r="B40" s="10" t="s">
        <v>478</v>
      </c>
      <c r="C40" s="139"/>
      <c r="D40" s="139"/>
      <c r="E40" s="139"/>
      <c r="F40" s="139"/>
      <c r="G40" s="139"/>
      <c r="H40" s="139"/>
      <c r="I40" s="139"/>
      <c r="J40" s="76"/>
      <c r="K40" s="77"/>
      <c r="L40" s="72"/>
    </row>
    <row r="41" spans="1:22" s="1" customFormat="1" ht="42" customHeight="1" x14ac:dyDescent="0.2">
      <c r="A41" s="8"/>
      <c r="B41" s="10" t="s">
        <v>114</v>
      </c>
      <c r="C41" s="139"/>
      <c r="D41" s="139"/>
      <c r="E41" s="139"/>
      <c r="F41" s="139"/>
      <c r="G41" s="139"/>
      <c r="H41" s="139"/>
      <c r="I41" s="139"/>
      <c r="J41" s="76"/>
      <c r="K41" s="77"/>
      <c r="L41" s="72"/>
    </row>
    <row r="42" spans="1:22" s="1" customFormat="1" ht="36" customHeight="1" x14ac:dyDescent="0.2">
      <c r="A42" s="142" t="s">
        <v>16</v>
      </c>
      <c r="B42" s="143"/>
      <c r="C42" s="143"/>
      <c r="D42" s="143"/>
      <c r="E42" s="143"/>
      <c r="F42" s="143"/>
      <c r="G42" s="143"/>
      <c r="H42" s="143"/>
      <c r="I42" s="144"/>
      <c r="J42" s="76"/>
      <c r="K42" s="77"/>
      <c r="L42" s="72"/>
    </row>
    <row r="43" spans="1:22" s="1" customFormat="1" ht="138" customHeight="1" x14ac:dyDescent="0.2">
      <c r="A43" s="151" t="s">
        <v>652</v>
      </c>
      <c r="B43" s="152"/>
      <c r="C43" s="152"/>
      <c r="D43" s="152"/>
      <c r="E43" s="152"/>
      <c r="F43" s="152"/>
      <c r="G43" s="152"/>
      <c r="H43" s="152"/>
      <c r="I43" s="153"/>
      <c r="J43" s="76"/>
      <c r="K43" s="77"/>
      <c r="L43" s="72"/>
    </row>
    <row r="44" spans="1:22" s="1" customFormat="1" ht="72" customHeight="1" x14ac:dyDescent="0.2">
      <c r="A44" s="154"/>
      <c r="B44" s="155"/>
      <c r="C44" s="155"/>
      <c r="D44" s="155"/>
      <c r="E44" s="155"/>
      <c r="F44" s="155"/>
      <c r="G44" s="155"/>
      <c r="H44" s="155"/>
      <c r="I44" s="156"/>
      <c r="J44" s="76"/>
      <c r="K44" s="77"/>
      <c r="L44" s="72"/>
      <c r="M44" s="183" t="s">
        <v>1188</v>
      </c>
      <c r="N44" s="184"/>
      <c r="O44" s="185"/>
      <c r="P44" s="188" t="s">
        <v>664</v>
      </c>
      <c r="Q44" s="189"/>
      <c r="R44" s="189"/>
      <c r="S44" s="190"/>
      <c r="T44" s="101" t="s">
        <v>665</v>
      </c>
      <c r="U44" s="102" t="s">
        <v>668</v>
      </c>
      <c r="V44" s="103" t="s">
        <v>670</v>
      </c>
    </row>
    <row r="45" spans="1:22" s="1" customFormat="1" ht="108" x14ac:dyDescent="0.2">
      <c r="A45" s="138" t="s">
        <v>19</v>
      </c>
      <c r="B45" s="138"/>
      <c r="C45" s="2" t="s">
        <v>564</v>
      </c>
      <c r="D45" s="2" t="s">
        <v>565</v>
      </c>
      <c r="E45" s="2" t="s">
        <v>101</v>
      </c>
      <c r="F45" s="2" t="s">
        <v>17</v>
      </c>
      <c r="G45" s="2" t="s">
        <v>18</v>
      </c>
      <c r="H45" s="2" t="s">
        <v>348</v>
      </c>
      <c r="I45" s="2" t="s">
        <v>375</v>
      </c>
      <c r="J45" s="186" t="s">
        <v>615</v>
      </c>
      <c r="K45" s="187"/>
      <c r="L45" s="79">
        <f>SUM(L46:L59)</f>
        <v>0</v>
      </c>
      <c r="M45" s="104" t="s">
        <v>657</v>
      </c>
      <c r="N45" s="104" t="s">
        <v>658</v>
      </c>
      <c r="O45" s="104" t="s">
        <v>659</v>
      </c>
      <c r="P45" s="105" t="s">
        <v>660</v>
      </c>
      <c r="Q45" s="105" t="s">
        <v>661</v>
      </c>
      <c r="R45" s="105" t="s">
        <v>662</v>
      </c>
      <c r="S45" s="106" t="s">
        <v>663</v>
      </c>
      <c r="T45" s="107" t="s">
        <v>666</v>
      </c>
      <c r="U45" s="105" t="s">
        <v>669</v>
      </c>
      <c r="V45" s="105" t="s">
        <v>673</v>
      </c>
    </row>
    <row r="46" spans="1:22" s="1" customFormat="1" ht="57" x14ac:dyDescent="0.2">
      <c r="A46" s="97" t="s">
        <v>163</v>
      </c>
      <c r="B46" s="15" t="s">
        <v>291</v>
      </c>
      <c r="C46" s="146"/>
      <c r="D46" s="147"/>
      <c r="E46" s="147"/>
      <c r="F46" s="16"/>
      <c r="G46" s="53" t="s">
        <v>376</v>
      </c>
      <c r="H46" s="34">
        <v>22</v>
      </c>
      <c r="I46" s="35" t="s">
        <v>377</v>
      </c>
      <c r="J46" s="80"/>
      <c r="K46" s="80"/>
      <c r="L46" s="81">
        <f t="shared" ref="L46:L59" si="0">J46*K46</f>
        <v>0</v>
      </c>
      <c r="M46" s="108"/>
      <c r="N46" s="108"/>
      <c r="O46" s="108"/>
      <c r="P46" s="109"/>
      <c r="Q46" s="109"/>
      <c r="R46" s="109"/>
      <c r="S46" s="109"/>
      <c r="T46" s="109" t="s">
        <v>667</v>
      </c>
      <c r="U46" s="110" t="s">
        <v>671</v>
      </c>
      <c r="V46" s="111" t="s">
        <v>674</v>
      </c>
    </row>
    <row r="47" spans="1:22" s="1" customFormat="1" ht="42.75" x14ac:dyDescent="0.25">
      <c r="A47" s="97" t="s">
        <v>22</v>
      </c>
      <c r="B47" s="36" t="s">
        <v>20</v>
      </c>
      <c r="C47" s="145"/>
      <c r="D47" s="145"/>
      <c r="E47" s="145"/>
      <c r="F47" s="145"/>
      <c r="G47" s="53" t="s">
        <v>21</v>
      </c>
      <c r="H47" s="34"/>
      <c r="I47" s="35"/>
      <c r="J47" s="80"/>
      <c r="K47" s="80"/>
      <c r="L47" s="81">
        <f t="shared" si="0"/>
        <v>0</v>
      </c>
      <c r="M47" s="112"/>
      <c r="N47" s="112"/>
      <c r="O47" s="112"/>
      <c r="P47" s="113"/>
      <c r="Q47" s="113"/>
      <c r="R47" s="113"/>
      <c r="S47" s="113"/>
      <c r="T47" s="113"/>
      <c r="U47" s="114"/>
      <c r="V47" s="115"/>
    </row>
    <row r="48" spans="1:22" s="1" customFormat="1" ht="42.75" x14ac:dyDescent="0.25">
      <c r="A48" s="97" t="s">
        <v>23</v>
      </c>
      <c r="B48" s="36" t="s">
        <v>378</v>
      </c>
      <c r="C48" s="145"/>
      <c r="D48" s="145"/>
      <c r="E48" s="145"/>
      <c r="F48" s="145"/>
      <c r="G48" s="53" t="s">
        <v>21</v>
      </c>
      <c r="H48" s="34"/>
      <c r="I48" s="35"/>
      <c r="J48" s="80"/>
      <c r="K48" s="80"/>
      <c r="L48" s="81">
        <f>J48*K48</f>
        <v>0</v>
      </c>
      <c r="M48" s="112"/>
      <c r="N48" s="112"/>
      <c r="O48" s="112"/>
      <c r="P48" s="113"/>
      <c r="Q48" s="113"/>
      <c r="R48" s="113"/>
      <c r="S48" s="113"/>
      <c r="T48" s="113"/>
      <c r="U48" s="114"/>
      <c r="V48" s="115"/>
    </row>
    <row r="49" spans="1:176" s="1" customFormat="1" ht="57" x14ac:dyDescent="0.25">
      <c r="A49" s="97" t="s">
        <v>24</v>
      </c>
      <c r="B49" s="36" t="s">
        <v>1195</v>
      </c>
      <c r="C49" s="145"/>
      <c r="D49" s="145"/>
      <c r="E49" s="145"/>
      <c r="F49" s="145"/>
      <c r="G49" s="53" t="s">
        <v>1196</v>
      </c>
      <c r="H49" s="34"/>
      <c r="I49" s="35"/>
      <c r="J49" s="80"/>
      <c r="K49" s="80"/>
      <c r="L49" s="81">
        <f t="shared" si="0"/>
        <v>0</v>
      </c>
      <c r="M49" s="112"/>
      <c r="N49" s="112"/>
      <c r="O49" s="112"/>
      <c r="P49" s="113"/>
      <c r="Q49" s="113"/>
      <c r="R49" s="113"/>
      <c r="S49" s="113"/>
      <c r="T49" s="113"/>
      <c r="U49" s="114"/>
      <c r="V49" s="115"/>
    </row>
    <row r="50" spans="1:176" s="1" customFormat="1" ht="42.75" x14ac:dyDescent="0.2">
      <c r="A50" s="97" t="s">
        <v>25</v>
      </c>
      <c r="B50" s="36" t="s">
        <v>631</v>
      </c>
      <c r="C50" s="49"/>
      <c r="D50" s="49"/>
      <c r="E50" s="49"/>
      <c r="F50" s="14"/>
      <c r="G50" s="53"/>
      <c r="H50" s="34">
        <v>61</v>
      </c>
      <c r="I50" s="35"/>
      <c r="J50" s="80"/>
      <c r="K50" s="80"/>
      <c r="L50" s="81">
        <f t="shared" si="0"/>
        <v>0</v>
      </c>
      <c r="M50" s="108"/>
      <c r="N50" s="108"/>
      <c r="O50" s="108"/>
      <c r="P50" s="109"/>
      <c r="Q50" s="109"/>
      <c r="R50" s="109"/>
      <c r="S50" s="109"/>
      <c r="T50" s="109"/>
      <c r="U50" s="110"/>
      <c r="V50" s="111"/>
    </row>
    <row r="51" spans="1:176" s="1" customFormat="1" ht="42.75" x14ac:dyDescent="0.2">
      <c r="A51" s="97" t="s">
        <v>26</v>
      </c>
      <c r="B51" s="36" t="s">
        <v>632</v>
      </c>
      <c r="C51" s="49"/>
      <c r="D51" s="49"/>
      <c r="E51" s="49"/>
      <c r="F51" s="14"/>
      <c r="G51" s="53"/>
      <c r="H51" s="34">
        <v>62</v>
      </c>
      <c r="I51" s="35"/>
      <c r="J51" s="80"/>
      <c r="K51" s="80"/>
      <c r="L51" s="81">
        <f t="shared" si="0"/>
        <v>0</v>
      </c>
      <c r="M51" s="108"/>
      <c r="N51" s="108"/>
      <c r="O51" s="108"/>
      <c r="P51" s="109"/>
      <c r="Q51" s="109"/>
      <c r="R51" s="109"/>
      <c r="S51" s="109"/>
      <c r="T51" s="109"/>
      <c r="U51" s="110"/>
      <c r="V51" s="111"/>
    </row>
    <row r="52" spans="1:176" s="1" customFormat="1" ht="42.75" x14ac:dyDescent="0.2">
      <c r="A52" s="97" t="s">
        <v>27</v>
      </c>
      <c r="B52" s="36" t="s">
        <v>633</v>
      </c>
      <c r="C52" s="49"/>
      <c r="D52" s="49"/>
      <c r="E52" s="49"/>
      <c r="F52" s="14"/>
      <c r="G52" s="53"/>
      <c r="H52" s="34">
        <v>63</v>
      </c>
      <c r="I52" s="35"/>
      <c r="J52" s="80"/>
      <c r="K52" s="80"/>
      <c r="L52" s="81">
        <f t="shared" si="0"/>
        <v>0</v>
      </c>
      <c r="M52" s="108"/>
      <c r="N52" s="108"/>
      <c r="O52" s="108"/>
      <c r="P52" s="109"/>
      <c r="Q52" s="109"/>
      <c r="R52" s="109"/>
      <c r="S52" s="109"/>
      <c r="T52" s="109"/>
      <c r="U52" s="110"/>
      <c r="V52" s="111"/>
    </row>
    <row r="53" spans="1:176" s="1" customFormat="1" ht="42.75" x14ac:dyDescent="0.2">
      <c r="A53" s="97" t="s">
        <v>379</v>
      </c>
      <c r="B53" s="36" t="s">
        <v>489</v>
      </c>
      <c r="C53" s="14" t="s">
        <v>115</v>
      </c>
      <c r="D53" s="14"/>
      <c r="E53" s="14"/>
      <c r="F53" s="11"/>
      <c r="G53" s="53" t="str">
        <f>IF(C53="","",IF(C53="Yes","Provide a detailed summary of the breach and actions taken to mitigate identified vulnerabilities.",""))</f>
        <v>Provide a detailed summary of the breach and actions taken to mitigate identified vulnerabilities.</v>
      </c>
      <c r="H53" s="37">
        <v>34</v>
      </c>
      <c r="I53" s="37" t="s">
        <v>380</v>
      </c>
      <c r="J53" s="80"/>
      <c r="K53" s="80"/>
      <c r="L53" s="81">
        <f t="shared" si="0"/>
        <v>0</v>
      </c>
      <c r="M53" s="108"/>
      <c r="N53" s="108"/>
      <c r="O53" s="108"/>
      <c r="P53" s="116"/>
      <c r="Q53" s="109"/>
      <c r="R53" s="109"/>
      <c r="S53" s="109"/>
      <c r="T53" s="109"/>
      <c r="U53" s="110"/>
      <c r="V53" s="111"/>
    </row>
    <row r="54" spans="1:176" s="1" customFormat="1" ht="57" x14ac:dyDescent="0.25">
      <c r="A54" s="97" t="s">
        <v>381</v>
      </c>
      <c r="B54" s="36" t="s">
        <v>382</v>
      </c>
      <c r="C54" s="14" t="s">
        <v>115</v>
      </c>
      <c r="D54" s="14"/>
      <c r="E54" s="14"/>
      <c r="F54" s="11"/>
      <c r="G54" s="53"/>
      <c r="H54" s="34"/>
      <c r="I54" s="35"/>
      <c r="J54" s="80"/>
      <c r="K54" s="80"/>
      <c r="L54" s="81">
        <f t="shared" si="0"/>
        <v>0</v>
      </c>
      <c r="M54" s="112"/>
      <c r="N54" s="112"/>
      <c r="O54" s="112"/>
      <c r="P54" s="113"/>
      <c r="Q54" s="113"/>
      <c r="R54" s="113"/>
      <c r="S54" s="113"/>
      <c r="T54" s="113"/>
      <c r="U54" s="114"/>
      <c r="V54" s="115"/>
    </row>
    <row r="55" spans="1:176" s="1" customFormat="1" ht="71.25" x14ac:dyDescent="0.25">
      <c r="A55" s="97" t="s">
        <v>383</v>
      </c>
      <c r="B55" s="36" t="s">
        <v>490</v>
      </c>
      <c r="C55" s="14" t="s">
        <v>115</v>
      </c>
      <c r="D55" s="14"/>
      <c r="E55" s="14"/>
      <c r="F55" s="11"/>
      <c r="G55" s="53"/>
      <c r="H55" s="34"/>
      <c r="I55" s="35"/>
      <c r="J55" s="80"/>
      <c r="K55" s="80"/>
      <c r="L55" s="81">
        <f t="shared" si="0"/>
        <v>0</v>
      </c>
      <c r="M55" s="112"/>
      <c r="N55" s="112"/>
      <c r="O55" s="112"/>
      <c r="P55" s="113"/>
      <c r="Q55" s="113"/>
      <c r="R55" s="113"/>
      <c r="S55" s="113"/>
      <c r="T55" s="113"/>
      <c r="U55" s="114"/>
      <c r="V55" s="115"/>
    </row>
    <row r="56" spans="1:176" s="1" customFormat="1" ht="28.5" x14ac:dyDescent="0.25">
      <c r="A56" s="97" t="s">
        <v>384</v>
      </c>
      <c r="B56" s="36" t="s">
        <v>1179</v>
      </c>
      <c r="C56" s="14" t="s">
        <v>115</v>
      </c>
      <c r="D56" s="14"/>
      <c r="E56" s="14"/>
      <c r="F56" s="11"/>
      <c r="G56" s="53"/>
      <c r="H56" s="34"/>
      <c r="I56" s="35"/>
      <c r="J56" s="80"/>
      <c r="K56" s="80"/>
      <c r="L56" s="81">
        <f t="shared" si="0"/>
        <v>0</v>
      </c>
      <c r="M56" s="112"/>
      <c r="N56" s="112"/>
      <c r="O56" s="112"/>
      <c r="P56" s="113"/>
      <c r="Q56" s="113"/>
      <c r="R56" s="113"/>
      <c r="S56" s="113"/>
      <c r="T56" s="113"/>
      <c r="U56" s="114"/>
      <c r="V56" s="117" t="s">
        <v>675</v>
      </c>
    </row>
    <row r="57" spans="1:176" s="1" customFormat="1" ht="42.75" x14ac:dyDescent="0.25">
      <c r="A57" s="97" t="s">
        <v>385</v>
      </c>
      <c r="B57" s="36" t="s">
        <v>491</v>
      </c>
      <c r="C57" s="14" t="s">
        <v>115</v>
      </c>
      <c r="D57" s="14"/>
      <c r="E57" s="14"/>
      <c r="F57" s="14"/>
      <c r="G57" s="53" t="str">
        <f>IF(C57="","",IF(C57="Yes","Describe your Information Security Office, including size, talents, resources, etc.","Describe any plans to create an Information Security Office for your organization."))</f>
        <v>Describe your Information Security Office, including size, talents, resources, etc.</v>
      </c>
      <c r="H57" s="34"/>
      <c r="I57" s="35"/>
      <c r="J57" s="80"/>
      <c r="K57" s="80"/>
      <c r="L57" s="81">
        <f t="shared" si="0"/>
        <v>0</v>
      </c>
      <c r="M57" s="112"/>
      <c r="N57" s="112"/>
      <c r="O57" s="112"/>
      <c r="P57" s="113"/>
      <c r="Q57" s="113"/>
      <c r="R57" s="113"/>
      <c r="S57" s="113"/>
      <c r="T57" s="113"/>
      <c r="U57" s="118" t="s">
        <v>672</v>
      </c>
      <c r="V57" s="115"/>
    </row>
    <row r="58" spans="1:176" s="1" customFormat="1" ht="85.5" x14ac:dyDescent="0.25">
      <c r="A58" s="97" t="s">
        <v>386</v>
      </c>
      <c r="B58" s="36" t="s">
        <v>492</v>
      </c>
      <c r="C58" s="14" t="s">
        <v>115</v>
      </c>
      <c r="D58" s="14"/>
      <c r="E58" s="14"/>
      <c r="F58" s="11"/>
      <c r="G58" s="53" t="str">
        <f>IF(C58="","",IF(C58="Yes","Describe the structure and size of your Software and System Development teams (e.g. Customer Support, Implementation, Product Management, etc.)","Describe your current teams/organizational structure, as well as any plans to create dedicated teams."))</f>
        <v>Describe the structure and size of your Software and System Development teams (e.g. Customer Support, Implementation, Product Management, etc.)</v>
      </c>
      <c r="H58" s="34"/>
      <c r="I58" s="35"/>
      <c r="J58" s="80"/>
      <c r="K58" s="80"/>
      <c r="L58" s="81">
        <f t="shared" si="0"/>
        <v>0</v>
      </c>
      <c r="M58" s="112"/>
      <c r="N58" s="112"/>
      <c r="O58" s="112"/>
      <c r="P58" s="113"/>
      <c r="Q58" s="113"/>
      <c r="R58" s="113"/>
      <c r="S58" s="113"/>
      <c r="T58" s="113"/>
      <c r="U58" s="114"/>
      <c r="V58" s="115"/>
    </row>
    <row r="59" spans="1:176" s="1" customFormat="1" ht="42.75" x14ac:dyDescent="0.25">
      <c r="A59" s="97" t="s">
        <v>387</v>
      </c>
      <c r="B59" s="36" t="s">
        <v>255</v>
      </c>
      <c r="C59" s="145"/>
      <c r="D59" s="145"/>
      <c r="E59" s="145"/>
      <c r="F59" s="145"/>
      <c r="G59" s="53" t="s">
        <v>252</v>
      </c>
      <c r="H59" s="34"/>
      <c r="I59" s="35"/>
      <c r="J59" s="80"/>
      <c r="K59" s="80"/>
      <c r="L59" s="81">
        <f t="shared" si="0"/>
        <v>0</v>
      </c>
      <c r="M59" s="112"/>
      <c r="N59" s="112"/>
      <c r="O59" s="112"/>
      <c r="P59" s="113"/>
      <c r="Q59" s="113"/>
      <c r="R59" s="113"/>
      <c r="S59" s="113"/>
      <c r="T59" s="113"/>
      <c r="U59" s="114"/>
      <c r="V59" s="115"/>
    </row>
    <row r="60" spans="1:176" s="1" customFormat="1" ht="108" x14ac:dyDescent="0.2">
      <c r="A60" s="138" t="s">
        <v>146</v>
      </c>
      <c r="B60" s="138"/>
      <c r="C60" s="2" t="s">
        <v>564</v>
      </c>
      <c r="D60" s="2" t="s">
        <v>565</v>
      </c>
      <c r="E60" s="2" t="s">
        <v>101</v>
      </c>
      <c r="F60" s="2" t="s">
        <v>17</v>
      </c>
      <c r="G60" s="2" t="s">
        <v>18</v>
      </c>
      <c r="H60" s="2" t="s">
        <v>348</v>
      </c>
      <c r="I60" s="2" t="s">
        <v>375</v>
      </c>
      <c r="J60" s="186" t="s">
        <v>615</v>
      </c>
      <c r="K60" s="187"/>
      <c r="L60" s="82">
        <f>SUM(L61:L75)</f>
        <v>0</v>
      </c>
      <c r="M60" s="104" t="s">
        <v>657</v>
      </c>
      <c r="N60" s="104" t="s">
        <v>658</v>
      </c>
      <c r="O60" s="104" t="s">
        <v>659</v>
      </c>
      <c r="P60" s="105" t="s">
        <v>660</v>
      </c>
      <c r="Q60" s="105" t="s">
        <v>661</v>
      </c>
      <c r="R60" s="105" t="s">
        <v>662</v>
      </c>
      <c r="S60" s="106" t="s">
        <v>663</v>
      </c>
      <c r="T60" s="107" t="s">
        <v>666</v>
      </c>
      <c r="U60" s="105" t="s">
        <v>669</v>
      </c>
      <c r="V60" s="105" t="s">
        <v>673</v>
      </c>
    </row>
    <row r="61" spans="1:176" s="1" customFormat="1" ht="85.5" x14ac:dyDescent="0.2">
      <c r="A61" s="97" t="s">
        <v>28</v>
      </c>
      <c r="B61" s="15" t="s">
        <v>494</v>
      </c>
      <c r="C61" s="177"/>
      <c r="D61" s="177"/>
      <c r="E61" s="177"/>
      <c r="F61" s="177"/>
      <c r="G61" s="53" t="s">
        <v>29</v>
      </c>
      <c r="H61" s="34"/>
      <c r="I61" s="35" t="s">
        <v>388</v>
      </c>
      <c r="J61" s="80"/>
      <c r="K61" s="80"/>
      <c r="L61" s="81">
        <f t="shared" ref="L61:L75" si="1">J61*K61</f>
        <v>0</v>
      </c>
      <c r="M61" s="119"/>
      <c r="N61" s="119"/>
      <c r="O61" s="119"/>
      <c r="P61" s="109" t="s">
        <v>680</v>
      </c>
      <c r="Q61" s="109" t="s">
        <v>680</v>
      </c>
      <c r="R61" s="109"/>
      <c r="S61" s="109" t="s">
        <v>681</v>
      </c>
      <c r="T61" s="116"/>
      <c r="U61" s="110" t="s">
        <v>682</v>
      </c>
      <c r="V61" s="111" t="s">
        <v>683</v>
      </c>
    </row>
    <row r="62" spans="1:176" ht="57" x14ac:dyDescent="0.25">
      <c r="A62" s="97" t="s">
        <v>30</v>
      </c>
      <c r="B62" s="15" t="s">
        <v>493</v>
      </c>
      <c r="C62" s="177"/>
      <c r="D62" s="177"/>
      <c r="E62" s="177"/>
      <c r="F62" s="177"/>
      <c r="G62" s="53" t="s">
        <v>548</v>
      </c>
      <c r="H62" s="34"/>
      <c r="I62" s="35"/>
      <c r="J62" s="80"/>
      <c r="K62" s="80"/>
      <c r="L62" s="81">
        <f t="shared" si="1"/>
        <v>0</v>
      </c>
      <c r="M62" s="120"/>
      <c r="N62" s="120"/>
      <c r="O62" s="120"/>
      <c r="P62" s="113"/>
      <c r="Q62" s="113"/>
      <c r="R62" s="113"/>
      <c r="S62" s="113"/>
      <c r="T62" s="113"/>
      <c r="U62" s="114"/>
      <c r="V62" s="115"/>
      <c r="FT62"/>
    </row>
    <row r="63" spans="1:176" ht="71.25" x14ac:dyDescent="0.2">
      <c r="A63" s="97" t="s">
        <v>162</v>
      </c>
      <c r="B63" s="15" t="s">
        <v>495</v>
      </c>
      <c r="C63" s="177"/>
      <c r="D63" s="177"/>
      <c r="E63" s="177"/>
      <c r="F63" s="177"/>
      <c r="G63" s="54"/>
      <c r="H63" s="34"/>
      <c r="I63" s="35" t="s">
        <v>389</v>
      </c>
      <c r="J63" s="80"/>
      <c r="K63" s="80"/>
      <c r="L63" s="81">
        <f t="shared" si="1"/>
        <v>0</v>
      </c>
      <c r="M63" s="119"/>
      <c r="N63" s="119"/>
      <c r="O63" s="119"/>
      <c r="P63" s="109" t="s">
        <v>684</v>
      </c>
      <c r="Q63" s="109" t="s">
        <v>685</v>
      </c>
      <c r="R63" s="109"/>
      <c r="S63" s="109" t="s">
        <v>686</v>
      </c>
      <c r="T63" s="116"/>
      <c r="U63" s="110" t="s">
        <v>687</v>
      </c>
      <c r="V63" s="111" t="s">
        <v>683</v>
      </c>
      <c r="FT63"/>
    </row>
    <row r="64" spans="1:176" ht="28.5" x14ac:dyDescent="0.2">
      <c r="A64" s="97" t="s">
        <v>32</v>
      </c>
      <c r="B64" s="15" t="s">
        <v>479</v>
      </c>
      <c r="C64" s="14" t="s">
        <v>115</v>
      </c>
      <c r="D64" s="14"/>
      <c r="E64" s="14"/>
      <c r="F64" s="18"/>
      <c r="G64" s="54" t="str">
        <f>IF(C64="","",IF(C64="Yes","Please describe this program and how it is maintained.","Please describe how you ensure integrity in absence of a program that ensures storage security."))</f>
        <v>Please describe this program and how it is maintained.</v>
      </c>
      <c r="H64" s="34">
        <v>2</v>
      </c>
      <c r="I64" s="35" t="s">
        <v>390</v>
      </c>
      <c r="J64" s="80"/>
      <c r="K64" s="80"/>
      <c r="L64" s="81">
        <f t="shared" si="1"/>
        <v>0</v>
      </c>
      <c r="M64" s="119"/>
      <c r="N64" s="119"/>
      <c r="O64" s="119"/>
      <c r="P64" s="109" t="s">
        <v>688</v>
      </c>
      <c r="Q64" s="109" t="s">
        <v>688</v>
      </c>
      <c r="R64" s="109" t="s">
        <v>689</v>
      </c>
      <c r="S64" s="109" t="s">
        <v>690</v>
      </c>
      <c r="T64" s="109" t="s">
        <v>691</v>
      </c>
      <c r="U64" s="110" t="s">
        <v>692</v>
      </c>
      <c r="V64" s="121" t="s">
        <v>693</v>
      </c>
      <c r="FT64"/>
    </row>
    <row r="65" spans="1:176" ht="42.75" x14ac:dyDescent="0.2">
      <c r="A65" s="97" t="s">
        <v>258</v>
      </c>
      <c r="B65" s="15" t="s">
        <v>338</v>
      </c>
      <c r="C65" s="14" t="s">
        <v>115</v>
      </c>
      <c r="D65" s="14"/>
      <c r="E65" s="14"/>
      <c r="F65" s="18"/>
      <c r="G65" s="54" t="str">
        <f>IF(C65="","",IF(C65="Yes","Please describe this process.","Please describe how the integrity of software is verified prior to use."))</f>
        <v>Please describe this process.</v>
      </c>
      <c r="H65" s="34"/>
      <c r="I65" s="35" t="s">
        <v>391</v>
      </c>
      <c r="J65" s="80"/>
      <c r="K65" s="80"/>
      <c r="L65" s="81">
        <f t="shared" si="1"/>
        <v>0</v>
      </c>
      <c r="M65" s="119" t="s">
        <v>676</v>
      </c>
      <c r="N65" s="119"/>
      <c r="O65" s="119" t="s">
        <v>677</v>
      </c>
      <c r="P65" s="109"/>
      <c r="Q65" s="109"/>
      <c r="R65" s="109"/>
      <c r="S65" s="109" t="s">
        <v>694</v>
      </c>
      <c r="T65" s="109" t="s">
        <v>695</v>
      </c>
      <c r="U65" s="110" t="s">
        <v>696</v>
      </c>
      <c r="V65" s="111" t="s">
        <v>683</v>
      </c>
      <c r="FT65"/>
    </row>
    <row r="66" spans="1:176" ht="63" x14ac:dyDescent="0.2">
      <c r="A66" s="97" t="s">
        <v>266</v>
      </c>
      <c r="B66" s="15" t="s">
        <v>339</v>
      </c>
      <c r="C66" s="14" t="s">
        <v>115</v>
      </c>
      <c r="D66" s="14"/>
      <c r="E66" s="14"/>
      <c r="F66" s="18"/>
      <c r="G66" s="54" t="str">
        <f>IF(C66="","",IF(C66="Yes","Please describe this process.",""))</f>
        <v>Please describe this process.</v>
      </c>
      <c r="H66" s="34"/>
      <c r="I66" s="35" t="s">
        <v>392</v>
      </c>
      <c r="J66" s="80"/>
      <c r="K66" s="80"/>
      <c r="L66" s="81">
        <f t="shared" si="1"/>
        <v>0</v>
      </c>
      <c r="M66" s="119" t="s">
        <v>676</v>
      </c>
      <c r="N66" s="119"/>
      <c r="O66" s="119" t="s">
        <v>677</v>
      </c>
      <c r="P66" s="109" t="s">
        <v>697</v>
      </c>
      <c r="Q66" s="109" t="s">
        <v>697</v>
      </c>
      <c r="R66" s="109" t="s">
        <v>698</v>
      </c>
      <c r="S66" s="109" t="s">
        <v>699</v>
      </c>
      <c r="T66" s="109" t="s">
        <v>700</v>
      </c>
      <c r="U66" s="110" t="s">
        <v>701</v>
      </c>
      <c r="V66" s="111" t="s">
        <v>702</v>
      </c>
      <c r="FT66"/>
    </row>
    <row r="67" spans="1:176" ht="42.75" x14ac:dyDescent="0.2">
      <c r="A67" s="97" t="s">
        <v>267</v>
      </c>
      <c r="B67" s="15" t="s">
        <v>480</v>
      </c>
      <c r="C67" s="14" t="s">
        <v>115</v>
      </c>
      <c r="D67" s="14"/>
      <c r="E67" s="14"/>
      <c r="F67" s="18"/>
      <c r="G67" s="54" t="str">
        <f>IF(C67="","",IF(C67="Yes","Please describe this process.",""))</f>
        <v>Please describe this process.</v>
      </c>
      <c r="H67" s="34">
        <v>59</v>
      </c>
      <c r="I67" s="35" t="s">
        <v>1186</v>
      </c>
      <c r="J67" s="80"/>
      <c r="K67" s="80"/>
      <c r="L67" s="81">
        <f t="shared" si="1"/>
        <v>0</v>
      </c>
      <c r="M67" s="119" t="s">
        <v>676</v>
      </c>
      <c r="N67" s="119"/>
      <c r="O67" s="119"/>
      <c r="P67" s="109" t="s">
        <v>703</v>
      </c>
      <c r="Q67" s="109" t="s">
        <v>703</v>
      </c>
      <c r="R67" s="109"/>
      <c r="S67" s="109" t="s">
        <v>704</v>
      </c>
      <c r="T67" s="109" t="s">
        <v>705</v>
      </c>
      <c r="U67" s="110" t="s">
        <v>706</v>
      </c>
      <c r="V67" s="111" t="s">
        <v>707</v>
      </c>
      <c r="FT67"/>
    </row>
    <row r="68" spans="1:176" ht="47.25" x14ac:dyDescent="0.2">
      <c r="A68" s="97" t="s">
        <v>268</v>
      </c>
      <c r="B68" s="15" t="s">
        <v>497</v>
      </c>
      <c r="C68" s="14" t="s">
        <v>115</v>
      </c>
      <c r="D68" s="14"/>
      <c r="E68" s="14"/>
      <c r="F68" s="18"/>
      <c r="G68" s="54" t="str">
        <f>IF(C68="","",IF(C68="Yes","Please describe or provide a reference to/copy of this policy.",""))</f>
        <v>Please describe or provide a reference to/copy of this policy.</v>
      </c>
      <c r="H68" s="34">
        <v>48</v>
      </c>
      <c r="I68" s="35" t="s">
        <v>393</v>
      </c>
      <c r="J68" s="80"/>
      <c r="K68" s="80"/>
      <c r="L68" s="81">
        <f t="shared" si="1"/>
        <v>0</v>
      </c>
      <c r="M68" s="119" t="s">
        <v>676</v>
      </c>
      <c r="N68" s="119"/>
      <c r="O68" s="119" t="s">
        <v>677</v>
      </c>
      <c r="P68" s="109" t="s">
        <v>708</v>
      </c>
      <c r="Q68" s="109" t="s">
        <v>708</v>
      </c>
      <c r="R68" s="109"/>
      <c r="S68" s="109" t="s">
        <v>699</v>
      </c>
      <c r="T68" s="109" t="s">
        <v>709</v>
      </c>
      <c r="U68" s="110" t="s">
        <v>696</v>
      </c>
      <c r="V68" s="111" t="s">
        <v>683</v>
      </c>
      <c r="FT68"/>
    </row>
    <row r="69" spans="1:176" ht="42.75" x14ac:dyDescent="0.2">
      <c r="A69" s="97" t="s">
        <v>269</v>
      </c>
      <c r="B69" s="15" t="s">
        <v>592</v>
      </c>
      <c r="C69" s="14" t="s">
        <v>115</v>
      </c>
      <c r="D69" s="14"/>
      <c r="E69" s="14"/>
      <c r="F69" s="18"/>
      <c r="G69" s="54"/>
      <c r="H69" s="34">
        <v>23</v>
      </c>
      <c r="I69" s="35" t="s">
        <v>394</v>
      </c>
      <c r="J69" s="80"/>
      <c r="K69" s="80"/>
      <c r="L69" s="81">
        <f t="shared" si="1"/>
        <v>0</v>
      </c>
      <c r="M69" s="119"/>
      <c r="N69" s="119"/>
      <c r="O69" s="119"/>
      <c r="P69" s="109"/>
      <c r="Q69" s="109"/>
      <c r="R69" s="109"/>
      <c r="S69" s="109"/>
      <c r="T69" s="109"/>
      <c r="U69" s="110" t="s">
        <v>671</v>
      </c>
      <c r="V69" s="111" t="s">
        <v>674</v>
      </c>
      <c r="FT69"/>
    </row>
    <row r="70" spans="1:176" ht="28.5" x14ac:dyDescent="0.2">
      <c r="A70" s="97" t="s">
        <v>270</v>
      </c>
      <c r="B70" s="15" t="s">
        <v>277</v>
      </c>
      <c r="C70" s="14" t="s">
        <v>115</v>
      </c>
      <c r="D70" s="14"/>
      <c r="E70" s="14"/>
      <c r="F70" s="18"/>
      <c r="G70" s="54" t="str">
        <f>IF(C70="","",IF(C70="Yes","Can this information be shared with the utility?",""))</f>
        <v>Can this information be shared with the utility?</v>
      </c>
      <c r="H70" s="34" t="s">
        <v>583</v>
      </c>
      <c r="I70" s="35" t="s">
        <v>395</v>
      </c>
      <c r="J70" s="80"/>
      <c r="K70" s="80"/>
      <c r="L70" s="81">
        <f t="shared" si="1"/>
        <v>0</v>
      </c>
      <c r="M70" s="119"/>
      <c r="N70" s="119"/>
      <c r="O70" s="119"/>
      <c r="P70" s="109" t="s">
        <v>708</v>
      </c>
      <c r="Q70" s="109" t="s">
        <v>708</v>
      </c>
      <c r="R70" s="109"/>
      <c r="S70" s="109"/>
      <c r="T70" s="109"/>
      <c r="U70" s="110"/>
      <c r="V70" s="111" t="s">
        <v>710</v>
      </c>
      <c r="FT70"/>
    </row>
    <row r="71" spans="1:176" ht="31.5" x14ac:dyDescent="0.2">
      <c r="A71" s="97" t="s">
        <v>275</v>
      </c>
      <c r="B71" s="15" t="s">
        <v>300</v>
      </c>
      <c r="C71" s="175" t="s">
        <v>115</v>
      </c>
      <c r="D71" s="176"/>
      <c r="E71" s="176"/>
      <c r="F71" s="18"/>
      <c r="G71" s="54" t="str">
        <f>IF(C71="","",IF(C71="Yes","Please describe this aspect of your program in adequate detail.",""))</f>
        <v>Please describe this aspect of your program in adequate detail.</v>
      </c>
      <c r="H71" s="34">
        <v>39</v>
      </c>
      <c r="I71" s="35" t="s">
        <v>396</v>
      </c>
      <c r="J71" s="80"/>
      <c r="K71" s="80"/>
      <c r="L71" s="81">
        <f t="shared" si="1"/>
        <v>0</v>
      </c>
      <c r="M71" s="119"/>
      <c r="N71" s="119"/>
      <c r="O71" s="119"/>
      <c r="P71" s="109"/>
      <c r="Q71" s="109"/>
      <c r="R71" s="109"/>
      <c r="S71" s="109" t="s">
        <v>711</v>
      </c>
      <c r="T71" s="109" t="s">
        <v>712</v>
      </c>
      <c r="U71" s="110" t="s">
        <v>713</v>
      </c>
      <c r="V71" s="111" t="s">
        <v>714</v>
      </c>
      <c r="FT71"/>
    </row>
    <row r="72" spans="1:176" ht="85.5" x14ac:dyDescent="0.2">
      <c r="A72" s="97" t="s">
        <v>276</v>
      </c>
      <c r="B72" s="15" t="s">
        <v>498</v>
      </c>
      <c r="C72" s="14" t="s">
        <v>115</v>
      </c>
      <c r="D72" s="14"/>
      <c r="E72" s="14"/>
      <c r="F72" s="18"/>
      <c r="G72" s="54" t="str">
        <f>IF(C72="","",IF(C72="Yes","Please describe this process, including timeframe for and method by which notification is provided.",""))</f>
        <v>Please describe this process, including timeframe for and method by which notification is provided.</v>
      </c>
      <c r="H72" s="34"/>
      <c r="I72" s="35" t="s">
        <v>397</v>
      </c>
      <c r="J72" s="80"/>
      <c r="K72" s="80"/>
      <c r="L72" s="81">
        <f t="shared" si="1"/>
        <v>0</v>
      </c>
      <c r="M72" s="119" t="s">
        <v>678</v>
      </c>
      <c r="N72" s="119"/>
      <c r="O72" s="119" t="s">
        <v>679</v>
      </c>
      <c r="P72" s="109" t="s">
        <v>715</v>
      </c>
      <c r="Q72" s="109" t="s">
        <v>715</v>
      </c>
      <c r="R72" s="109" t="s">
        <v>698</v>
      </c>
      <c r="S72" s="109" t="s">
        <v>716</v>
      </c>
      <c r="T72" s="109" t="s">
        <v>717</v>
      </c>
      <c r="U72" s="110" t="s">
        <v>701</v>
      </c>
      <c r="V72" s="111" t="s">
        <v>702</v>
      </c>
      <c r="FT72"/>
    </row>
    <row r="73" spans="1:176" ht="42.75" x14ac:dyDescent="0.25">
      <c r="A73" s="97" t="s">
        <v>299</v>
      </c>
      <c r="B73" s="15" t="s">
        <v>323</v>
      </c>
      <c r="C73" s="14" t="s">
        <v>115</v>
      </c>
      <c r="D73" s="14"/>
      <c r="E73" s="14"/>
      <c r="F73" s="18"/>
      <c r="G73" s="54"/>
      <c r="H73" s="34"/>
      <c r="I73" s="35"/>
      <c r="J73" s="80"/>
      <c r="K73" s="80"/>
      <c r="L73" s="81">
        <f t="shared" si="1"/>
        <v>0</v>
      </c>
      <c r="M73" s="120"/>
      <c r="N73" s="120"/>
      <c r="O73" s="120"/>
      <c r="P73" s="122" t="s">
        <v>718</v>
      </c>
      <c r="Q73" s="122"/>
      <c r="R73" s="113"/>
      <c r="S73" s="113"/>
      <c r="T73" s="113"/>
      <c r="U73" s="114"/>
      <c r="V73" s="115"/>
      <c r="FT73"/>
    </row>
    <row r="74" spans="1:176" s="1" customFormat="1" ht="74.25" customHeight="1" x14ac:dyDescent="0.25">
      <c r="A74" s="97" t="s">
        <v>305</v>
      </c>
      <c r="B74" s="17" t="s">
        <v>499</v>
      </c>
      <c r="C74" s="177"/>
      <c r="D74" s="177"/>
      <c r="E74" s="177"/>
      <c r="F74" s="177"/>
      <c r="G74" s="53" t="s">
        <v>31</v>
      </c>
      <c r="H74" s="34"/>
      <c r="I74" s="35"/>
      <c r="J74" s="80"/>
      <c r="K74" s="80"/>
      <c r="L74" s="81">
        <f t="shared" si="1"/>
        <v>0</v>
      </c>
      <c r="M74" s="120"/>
      <c r="N74" s="120"/>
      <c r="O74" s="120"/>
      <c r="P74" s="113"/>
      <c r="Q74" s="113"/>
      <c r="R74" s="113"/>
      <c r="S74" s="113"/>
      <c r="T74" s="113"/>
      <c r="U74" s="114"/>
      <c r="V74" s="115"/>
    </row>
    <row r="75" spans="1:176" s="1" customFormat="1" ht="42.75" x14ac:dyDescent="0.25">
      <c r="A75" s="97" t="s">
        <v>322</v>
      </c>
      <c r="B75" s="3" t="s">
        <v>474</v>
      </c>
      <c r="C75" s="177"/>
      <c r="D75" s="177"/>
      <c r="E75" s="177"/>
      <c r="F75" s="177"/>
      <c r="G75" s="53" t="s">
        <v>160</v>
      </c>
      <c r="H75" s="34"/>
      <c r="I75" s="35"/>
      <c r="J75" s="80"/>
      <c r="K75" s="80"/>
      <c r="L75" s="81">
        <f t="shared" si="1"/>
        <v>0</v>
      </c>
      <c r="M75" s="120"/>
      <c r="N75" s="120"/>
      <c r="O75" s="120"/>
      <c r="P75" s="113"/>
      <c r="Q75" s="113"/>
      <c r="R75" s="113"/>
      <c r="S75" s="113"/>
      <c r="T75" s="113"/>
      <c r="U75" s="114"/>
      <c r="V75" s="115"/>
    </row>
    <row r="76" spans="1:176" ht="108" x14ac:dyDescent="0.2">
      <c r="A76" s="138" t="s">
        <v>161</v>
      </c>
      <c r="B76" s="138"/>
      <c r="C76" s="2" t="s">
        <v>564</v>
      </c>
      <c r="D76" s="2" t="s">
        <v>565</v>
      </c>
      <c r="E76" s="2" t="s">
        <v>101</v>
      </c>
      <c r="F76" s="2" t="s">
        <v>17</v>
      </c>
      <c r="G76" s="2" t="s">
        <v>18</v>
      </c>
      <c r="H76" s="2" t="s">
        <v>348</v>
      </c>
      <c r="I76" s="2" t="s">
        <v>375</v>
      </c>
      <c r="J76" s="186" t="s">
        <v>615</v>
      </c>
      <c r="K76" s="187"/>
      <c r="L76" s="82">
        <f>SUM(L77:L89)</f>
        <v>0</v>
      </c>
      <c r="M76" s="104" t="s">
        <v>657</v>
      </c>
      <c r="N76" s="104" t="s">
        <v>658</v>
      </c>
      <c r="O76" s="104" t="s">
        <v>659</v>
      </c>
      <c r="P76" s="105" t="s">
        <v>660</v>
      </c>
      <c r="Q76" s="105" t="s">
        <v>661</v>
      </c>
      <c r="R76" s="105" t="s">
        <v>662</v>
      </c>
      <c r="S76" s="106" t="s">
        <v>663</v>
      </c>
      <c r="T76" s="107" t="s">
        <v>666</v>
      </c>
      <c r="U76" s="105" t="s">
        <v>669</v>
      </c>
      <c r="V76" s="105" t="s">
        <v>673</v>
      </c>
      <c r="FT76"/>
    </row>
    <row r="77" spans="1:176" ht="85.5" x14ac:dyDescent="0.2">
      <c r="A77" s="97" t="s">
        <v>282</v>
      </c>
      <c r="B77" s="19" t="s">
        <v>500</v>
      </c>
      <c r="C77" s="175" t="s">
        <v>115</v>
      </c>
      <c r="D77" s="176"/>
      <c r="E77" s="176"/>
      <c r="F77" s="13"/>
      <c r="G77" s="54" t="str">
        <f>IF(C77="","",IF(C77="Yes","Summarize background check practices including level (e.g. seven-year background checks) and list of any exempted employees or contactors due to restrictions by country of employment.","State plans to implement background checks into your hiring process."))</f>
        <v>Summarize background check practices including level (e.g. seven-year background checks) and list of any exempted employees or contactors due to restrictions by country of employment.</v>
      </c>
      <c r="H77" s="34" t="s">
        <v>473</v>
      </c>
      <c r="I77" s="35" t="s">
        <v>472</v>
      </c>
      <c r="J77" s="80"/>
      <c r="K77" s="80"/>
      <c r="L77" s="81">
        <f t="shared" ref="L77:L140" si="2">J77*K77</f>
        <v>0</v>
      </c>
      <c r="M77" s="123"/>
      <c r="N77" s="123"/>
      <c r="O77" s="123"/>
      <c r="P77" s="122" t="s">
        <v>722</v>
      </c>
      <c r="Q77" s="122" t="s">
        <v>722</v>
      </c>
      <c r="R77" s="122" t="s">
        <v>723</v>
      </c>
      <c r="S77" s="122" t="s">
        <v>724</v>
      </c>
      <c r="T77" s="124" t="s">
        <v>838</v>
      </c>
      <c r="U77" s="118" t="s">
        <v>725</v>
      </c>
      <c r="V77" s="117" t="s">
        <v>726</v>
      </c>
      <c r="FT77"/>
    </row>
    <row r="78" spans="1:176" ht="85.5" x14ac:dyDescent="0.2">
      <c r="A78" s="96" t="s">
        <v>576</v>
      </c>
      <c r="B78" s="19" t="s">
        <v>577</v>
      </c>
      <c r="C78" s="175" t="s">
        <v>115</v>
      </c>
      <c r="D78" s="176"/>
      <c r="E78" s="176"/>
      <c r="F78" s="13"/>
      <c r="G78" s="54" t="str">
        <f>IF(C78="","",IF(C78="Yes","Provide frequency that supplier's process requires and list of any exempted employees or contactors due to the personnel's area of responsibility or restrictions by country of employment.",""))</f>
        <v>Provide frequency that supplier's process requires and list of any exempted employees or contactors due to the personnel's area of responsibility or restrictions by country of employment.</v>
      </c>
      <c r="H78" s="34" t="s">
        <v>473</v>
      </c>
      <c r="I78" s="35" t="s">
        <v>472</v>
      </c>
      <c r="J78" s="80"/>
      <c r="K78" s="80"/>
      <c r="L78" s="81">
        <f t="shared" si="2"/>
        <v>0</v>
      </c>
      <c r="M78" s="123"/>
      <c r="N78" s="123"/>
      <c r="O78" s="123"/>
      <c r="P78" s="122" t="s">
        <v>722</v>
      </c>
      <c r="Q78" s="122" t="s">
        <v>722</v>
      </c>
      <c r="R78" s="122" t="s">
        <v>723</v>
      </c>
      <c r="S78" s="124" t="s">
        <v>727</v>
      </c>
      <c r="T78" s="124" t="s">
        <v>728</v>
      </c>
      <c r="U78" s="118" t="s">
        <v>725</v>
      </c>
      <c r="V78" s="117" t="s">
        <v>726</v>
      </c>
      <c r="FT78"/>
    </row>
    <row r="79" spans="1:176" ht="63" x14ac:dyDescent="0.2">
      <c r="A79" s="97" t="s">
        <v>283</v>
      </c>
      <c r="B79" s="19" t="s">
        <v>1197</v>
      </c>
      <c r="C79" s="175" t="s">
        <v>115</v>
      </c>
      <c r="D79" s="176"/>
      <c r="E79" s="176"/>
      <c r="F79" s="13"/>
      <c r="G79" s="54"/>
      <c r="H79" s="34">
        <v>3</v>
      </c>
      <c r="I79" s="35" t="s">
        <v>399</v>
      </c>
      <c r="J79" s="80"/>
      <c r="K79" s="80"/>
      <c r="L79" s="81">
        <f t="shared" si="2"/>
        <v>0</v>
      </c>
      <c r="M79" s="123"/>
      <c r="N79" s="123"/>
      <c r="O79" s="123"/>
      <c r="P79" s="122" t="s">
        <v>722</v>
      </c>
      <c r="Q79" s="122" t="s">
        <v>722</v>
      </c>
      <c r="R79" s="122" t="s">
        <v>723</v>
      </c>
      <c r="S79" s="122" t="s">
        <v>724</v>
      </c>
      <c r="T79" s="124" t="s">
        <v>729</v>
      </c>
      <c r="U79" s="118" t="s">
        <v>725</v>
      </c>
      <c r="V79" s="117" t="s">
        <v>726</v>
      </c>
      <c r="FT79"/>
    </row>
    <row r="80" spans="1:176" ht="85.5" x14ac:dyDescent="0.2">
      <c r="A80" s="97" t="s">
        <v>284</v>
      </c>
      <c r="B80" s="19" t="s">
        <v>1198</v>
      </c>
      <c r="C80" s="178"/>
      <c r="D80" s="179"/>
      <c r="E80" s="179"/>
      <c r="F80" s="180"/>
      <c r="G80" s="54"/>
      <c r="H80" s="35" t="s">
        <v>400</v>
      </c>
      <c r="I80" s="35" t="s">
        <v>1180</v>
      </c>
      <c r="J80" s="80"/>
      <c r="K80" s="80"/>
      <c r="L80" s="81">
        <f t="shared" si="2"/>
        <v>0</v>
      </c>
      <c r="M80" s="123" t="s">
        <v>719</v>
      </c>
      <c r="N80" s="125" t="s">
        <v>1187</v>
      </c>
      <c r="O80" s="123"/>
      <c r="P80" s="124" t="s">
        <v>730</v>
      </c>
      <c r="Q80" s="124" t="s">
        <v>731</v>
      </c>
      <c r="R80" s="124" t="s">
        <v>732</v>
      </c>
      <c r="S80" s="122" t="s">
        <v>733</v>
      </c>
      <c r="T80" s="122" t="s">
        <v>734</v>
      </c>
      <c r="U80" s="118" t="s">
        <v>735</v>
      </c>
      <c r="V80" s="117" t="s">
        <v>736</v>
      </c>
      <c r="FT80"/>
    </row>
    <row r="81" spans="1:176" ht="57" x14ac:dyDescent="0.2">
      <c r="A81" s="97" t="s">
        <v>285</v>
      </c>
      <c r="B81" s="19" t="s">
        <v>346</v>
      </c>
      <c r="C81" s="14" t="s">
        <v>115</v>
      </c>
      <c r="D81" s="14"/>
      <c r="E81" s="14"/>
      <c r="F81" s="20"/>
      <c r="G81" s="54"/>
      <c r="H81" s="34">
        <v>11</v>
      </c>
      <c r="I81" s="35" t="s">
        <v>401</v>
      </c>
      <c r="J81" s="80"/>
      <c r="K81" s="80"/>
      <c r="L81" s="81">
        <f t="shared" si="2"/>
        <v>0</v>
      </c>
      <c r="M81" s="123" t="s">
        <v>719</v>
      </c>
      <c r="N81" s="123" t="s">
        <v>720</v>
      </c>
      <c r="O81" s="123"/>
      <c r="P81" s="122" t="s">
        <v>737</v>
      </c>
      <c r="Q81" s="124" t="s">
        <v>738</v>
      </c>
      <c r="R81" s="122" t="s">
        <v>739</v>
      </c>
      <c r="S81" s="122" t="s">
        <v>733</v>
      </c>
      <c r="T81" s="124" t="s">
        <v>740</v>
      </c>
      <c r="U81" s="126" t="s">
        <v>741</v>
      </c>
      <c r="V81" s="117" t="s">
        <v>736</v>
      </c>
      <c r="FT81"/>
    </row>
    <row r="82" spans="1:176" ht="42.75" x14ac:dyDescent="0.2">
      <c r="A82" s="97" t="s">
        <v>286</v>
      </c>
      <c r="B82" s="19" t="s">
        <v>402</v>
      </c>
      <c r="C82" s="14" t="s">
        <v>115</v>
      </c>
      <c r="D82" s="14"/>
      <c r="E82" s="14"/>
      <c r="F82" s="20"/>
      <c r="G82" s="54"/>
      <c r="H82" s="34">
        <v>12</v>
      </c>
      <c r="I82" s="35" t="s">
        <v>403</v>
      </c>
      <c r="J82" s="80"/>
      <c r="K82" s="80"/>
      <c r="L82" s="81">
        <f t="shared" si="2"/>
        <v>0</v>
      </c>
      <c r="M82" s="123" t="s">
        <v>719</v>
      </c>
      <c r="N82" s="123" t="s">
        <v>720</v>
      </c>
      <c r="O82" s="123"/>
      <c r="P82" s="122" t="s">
        <v>737</v>
      </c>
      <c r="Q82" s="124" t="s">
        <v>738</v>
      </c>
      <c r="R82" s="122" t="s">
        <v>739</v>
      </c>
      <c r="S82" s="122" t="s">
        <v>733</v>
      </c>
      <c r="T82" s="124" t="s">
        <v>740</v>
      </c>
      <c r="U82" s="126" t="s">
        <v>741</v>
      </c>
      <c r="V82" s="117" t="s">
        <v>736</v>
      </c>
      <c r="FT82"/>
    </row>
    <row r="83" spans="1:176" ht="57" x14ac:dyDescent="0.2">
      <c r="A83" s="97" t="s">
        <v>281</v>
      </c>
      <c r="B83" s="19" t="s">
        <v>593</v>
      </c>
      <c r="C83" s="14" t="s">
        <v>115</v>
      </c>
      <c r="D83" s="14"/>
      <c r="E83" s="14"/>
      <c r="F83" s="20"/>
      <c r="G83" s="54"/>
      <c r="H83" s="34">
        <v>10</v>
      </c>
      <c r="I83" s="35" t="s">
        <v>404</v>
      </c>
      <c r="J83" s="80"/>
      <c r="K83" s="80"/>
      <c r="L83" s="81">
        <f t="shared" si="2"/>
        <v>0</v>
      </c>
      <c r="M83" s="123" t="s">
        <v>719</v>
      </c>
      <c r="N83" s="125" t="s">
        <v>1182</v>
      </c>
      <c r="O83" s="123"/>
      <c r="P83" s="122" t="s">
        <v>737</v>
      </c>
      <c r="Q83" s="124" t="s">
        <v>738</v>
      </c>
      <c r="R83" s="122" t="s">
        <v>739</v>
      </c>
      <c r="S83" s="122" t="s">
        <v>733</v>
      </c>
      <c r="T83" s="124" t="s">
        <v>740</v>
      </c>
      <c r="U83" s="126" t="s">
        <v>741</v>
      </c>
      <c r="V83" s="117" t="s">
        <v>742</v>
      </c>
      <c r="FT83"/>
    </row>
    <row r="84" spans="1:176" ht="42.75" x14ac:dyDescent="0.2">
      <c r="A84" s="97" t="s">
        <v>280</v>
      </c>
      <c r="B84" s="19" t="s">
        <v>405</v>
      </c>
      <c r="C84" s="14" t="s">
        <v>115</v>
      </c>
      <c r="D84" s="14"/>
      <c r="E84" s="14"/>
      <c r="F84" s="20"/>
      <c r="G84" s="99" t="str">
        <f>IF(C84="","",IF(C84="Yes","Describe your secure product development program.","Describe your plans for applying security controls and secure coding techniques."))</f>
        <v>Describe your secure product development program.</v>
      </c>
      <c r="H84" s="34">
        <v>47</v>
      </c>
      <c r="I84" s="35" t="s">
        <v>406</v>
      </c>
      <c r="J84" s="80"/>
      <c r="K84" s="80"/>
      <c r="L84" s="81">
        <f t="shared" si="2"/>
        <v>0</v>
      </c>
      <c r="M84" s="123"/>
      <c r="N84" s="123"/>
      <c r="O84" s="123"/>
      <c r="P84" s="122" t="s">
        <v>743</v>
      </c>
      <c r="Q84" s="122" t="s">
        <v>743</v>
      </c>
      <c r="R84" s="122"/>
      <c r="S84" s="122" t="s">
        <v>744</v>
      </c>
      <c r="T84" s="124" t="s">
        <v>745</v>
      </c>
      <c r="U84" s="126" t="s">
        <v>746</v>
      </c>
      <c r="V84" s="117" t="s">
        <v>747</v>
      </c>
      <c r="FT84"/>
    </row>
    <row r="85" spans="1:176" ht="57" x14ac:dyDescent="0.2">
      <c r="A85" s="97" t="s">
        <v>353</v>
      </c>
      <c r="B85" s="19" t="s">
        <v>340</v>
      </c>
      <c r="C85" s="181" t="s">
        <v>115</v>
      </c>
      <c r="D85" s="182"/>
      <c r="E85" s="182"/>
      <c r="F85" s="20"/>
      <c r="G85" s="54" t="str">
        <f>IF(C85="","",IF(C85="Yes","Summarize your securing coding training and state how frequently employees are required to undergo this training.","State plans to make secure coding training mandatory for all developers."))</f>
        <v>Summarize your securing coding training and state how frequently employees are required to undergo this training.</v>
      </c>
      <c r="H85" s="34"/>
      <c r="I85" s="35" t="s">
        <v>407</v>
      </c>
      <c r="J85" s="80"/>
      <c r="K85" s="80"/>
      <c r="L85" s="81">
        <f t="shared" si="2"/>
        <v>0</v>
      </c>
      <c r="M85" s="123"/>
      <c r="N85" s="123"/>
      <c r="O85" s="123"/>
      <c r="P85" s="122" t="s">
        <v>748</v>
      </c>
      <c r="Q85" s="122" t="s">
        <v>748</v>
      </c>
      <c r="R85" s="122" t="s">
        <v>749</v>
      </c>
      <c r="S85" s="122" t="s">
        <v>750</v>
      </c>
      <c r="T85" s="124" t="s">
        <v>751</v>
      </c>
      <c r="U85" s="118" t="s">
        <v>752</v>
      </c>
      <c r="V85" s="117" t="s">
        <v>753</v>
      </c>
      <c r="FT85"/>
    </row>
    <row r="86" spans="1:176" ht="99.75" x14ac:dyDescent="0.2">
      <c r="A86" s="97" t="s">
        <v>354</v>
      </c>
      <c r="B86" s="19" t="s">
        <v>501</v>
      </c>
      <c r="C86" s="181" t="s">
        <v>115</v>
      </c>
      <c r="D86" s="182"/>
      <c r="E86" s="182"/>
      <c r="F86" s="20"/>
      <c r="G86" s="54"/>
      <c r="H86" s="34"/>
      <c r="I86" s="35" t="s">
        <v>398</v>
      </c>
      <c r="J86" s="80"/>
      <c r="K86" s="80"/>
      <c r="L86" s="81">
        <f t="shared" si="2"/>
        <v>0</v>
      </c>
      <c r="M86" s="123"/>
      <c r="N86" s="123"/>
      <c r="O86" s="123"/>
      <c r="P86" s="122" t="s">
        <v>722</v>
      </c>
      <c r="Q86" s="122" t="s">
        <v>722</v>
      </c>
      <c r="R86" s="122" t="s">
        <v>723</v>
      </c>
      <c r="S86" s="124" t="s">
        <v>727</v>
      </c>
      <c r="T86" s="124" t="s">
        <v>837</v>
      </c>
      <c r="U86" s="118" t="s">
        <v>725</v>
      </c>
      <c r="V86" s="117" t="s">
        <v>726</v>
      </c>
      <c r="FT86"/>
    </row>
    <row r="87" spans="1:176" ht="57" x14ac:dyDescent="0.2">
      <c r="A87" s="97" t="s">
        <v>355</v>
      </c>
      <c r="B87" s="19" t="s">
        <v>502</v>
      </c>
      <c r="C87" s="178" t="s">
        <v>115</v>
      </c>
      <c r="D87" s="179"/>
      <c r="E87" s="179"/>
      <c r="F87" s="180"/>
      <c r="G87" s="54"/>
      <c r="H87" s="34"/>
      <c r="I87" s="35"/>
      <c r="J87" s="80"/>
      <c r="K87" s="80"/>
      <c r="L87" s="81">
        <f t="shared" si="2"/>
        <v>0</v>
      </c>
      <c r="M87" s="123"/>
      <c r="N87" s="123" t="s">
        <v>721</v>
      </c>
      <c r="O87" s="123"/>
      <c r="P87" s="122"/>
      <c r="Q87" s="122"/>
      <c r="R87" s="122"/>
      <c r="S87" s="122"/>
      <c r="T87" s="122"/>
      <c r="U87" s="118"/>
      <c r="V87" s="117"/>
      <c r="FT87"/>
    </row>
    <row r="88" spans="1:176" ht="42.75" x14ac:dyDescent="0.2">
      <c r="A88" s="97" t="s">
        <v>408</v>
      </c>
      <c r="B88" s="19" t="s">
        <v>594</v>
      </c>
      <c r="C88" s="175" t="s">
        <v>115</v>
      </c>
      <c r="D88" s="176"/>
      <c r="E88" s="176"/>
      <c r="F88" s="13"/>
      <c r="G88" s="54" t="str">
        <f>IF(C88="","",IF(C88="Yes","Summarize the required agreements and reviewed policies.","Summarize why new employees are not required to accept agreements or review policy, as well as any practices that are conducted with new employees."))</f>
        <v>Summarize the required agreements and reviewed policies.</v>
      </c>
      <c r="H88" s="34"/>
      <c r="I88" s="35"/>
      <c r="J88" s="80"/>
      <c r="K88" s="80"/>
      <c r="L88" s="81">
        <f t="shared" si="2"/>
        <v>0</v>
      </c>
      <c r="M88" s="123"/>
      <c r="N88" s="123"/>
      <c r="O88" s="123"/>
      <c r="P88" s="122" t="s">
        <v>754</v>
      </c>
      <c r="Q88" s="122" t="s">
        <v>754</v>
      </c>
      <c r="R88" s="122"/>
      <c r="S88" s="122"/>
      <c r="T88" s="122" t="s">
        <v>755</v>
      </c>
      <c r="U88" s="126" t="s">
        <v>756</v>
      </c>
      <c r="V88" s="117" t="s">
        <v>757</v>
      </c>
      <c r="FT88"/>
    </row>
    <row r="89" spans="1:176" ht="71.25" x14ac:dyDescent="0.2">
      <c r="A89" s="97" t="s">
        <v>409</v>
      </c>
      <c r="B89" s="19" t="s">
        <v>595</v>
      </c>
      <c r="C89" s="175" t="s">
        <v>115</v>
      </c>
      <c r="D89" s="176"/>
      <c r="E89" s="176"/>
      <c r="F89" s="13"/>
      <c r="G89" s="54" t="str">
        <f>IF(C89="","",IF(C89="Yes","Summarize your security awareness and privacy training content and state how frequently employees are required to undergo security awareness training.","State plans to make security awareness training mandatory for all employees."))</f>
        <v>Summarize your security awareness and privacy training content and state how frequently employees are required to undergo security awareness training.</v>
      </c>
      <c r="H89" s="34"/>
      <c r="I89" s="35"/>
      <c r="J89" s="80"/>
      <c r="K89" s="80"/>
      <c r="L89" s="81">
        <f t="shared" si="2"/>
        <v>0</v>
      </c>
      <c r="M89" s="123"/>
      <c r="N89" s="123"/>
      <c r="O89" s="123"/>
      <c r="P89" s="122" t="s">
        <v>758</v>
      </c>
      <c r="Q89" s="122" t="s">
        <v>758</v>
      </c>
      <c r="R89" s="122" t="s">
        <v>759</v>
      </c>
      <c r="S89" s="122"/>
      <c r="T89" s="124" t="s">
        <v>760</v>
      </c>
      <c r="U89" s="118" t="s">
        <v>752</v>
      </c>
      <c r="V89" s="117" t="s">
        <v>761</v>
      </c>
      <c r="FT89"/>
    </row>
    <row r="90" spans="1:176" ht="108" x14ac:dyDescent="0.2">
      <c r="A90" s="138" t="s">
        <v>144</v>
      </c>
      <c r="B90" s="138"/>
      <c r="C90" s="2" t="s">
        <v>564</v>
      </c>
      <c r="D90" s="2" t="s">
        <v>565</v>
      </c>
      <c r="E90" s="2" t="s">
        <v>101</v>
      </c>
      <c r="F90" s="2" t="s">
        <v>17</v>
      </c>
      <c r="G90" s="2" t="s">
        <v>18</v>
      </c>
      <c r="H90" s="2" t="s">
        <v>348</v>
      </c>
      <c r="I90" s="2" t="s">
        <v>375</v>
      </c>
      <c r="J90" s="186" t="s">
        <v>615</v>
      </c>
      <c r="K90" s="187"/>
      <c r="L90" s="82">
        <f>SUM(L91:L119)</f>
        <v>0</v>
      </c>
      <c r="M90" s="104" t="s">
        <v>657</v>
      </c>
      <c r="N90" s="104" t="s">
        <v>658</v>
      </c>
      <c r="O90" s="104" t="s">
        <v>659</v>
      </c>
      <c r="P90" s="105" t="s">
        <v>660</v>
      </c>
      <c r="Q90" s="105" t="s">
        <v>661</v>
      </c>
      <c r="R90" s="105" t="s">
        <v>662</v>
      </c>
      <c r="S90" s="106" t="s">
        <v>663</v>
      </c>
      <c r="T90" s="107" t="s">
        <v>666</v>
      </c>
      <c r="U90" s="105" t="s">
        <v>669</v>
      </c>
      <c r="V90" s="105" t="s">
        <v>673</v>
      </c>
      <c r="FT90"/>
    </row>
    <row r="91" spans="1:176" s="1" customFormat="1" ht="18" x14ac:dyDescent="0.2">
      <c r="A91" s="97" t="s">
        <v>164</v>
      </c>
      <c r="B91" s="3" t="s">
        <v>130</v>
      </c>
      <c r="C91" s="49"/>
      <c r="D91" s="49"/>
      <c r="E91" s="49"/>
      <c r="F91" s="32"/>
      <c r="G91" s="54"/>
      <c r="H91" s="34"/>
      <c r="I91" s="35"/>
      <c r="J91" s="80"/>
      <c r="K91" s="83"/>
      <c r="L91" s="81">
        <f t="shared" si="2"/>
        <v>0</v>
      </c>
      <c r="M91" s="123"/>
      <c r="N91" s="123"/>
      <c r="O91" s="123"/>
      <c r="P91" s="122"/>
      <c r="Q91" s="122"/>
      <c r="R91" s="122"/>
      <c r="S91" s="122"/>
      <c r="T91" s="122"/>
      <c r="U91" s="118"/>
      <c r="V91" s="117"/>
    </row>
    <row r="92" spans="1:176" s="1" customFormat="1" ht="47.25" x14ac:dyDescent="0.2">
      <c r="A92" s="97" t="s">
        <v>165</v>
      </c>
      <c r="B92" s="3" t="s">
        <v>503</v>
      </c>
      <c r="C92" s="14" t="s">
        <v>115</v>
      </c>
      <c r="D92" s="14"/>
      <c r="E92" s="14"/>
      <c r="F92" s="32"/>
      <c r="G92" s="54" t="str">
        <f>IF(C92="","",IF(C92="Yes","Please provide a high-level description of the major components of this program.","Describe plans to implement such an identity and access management program."))</f>
        <v>Please provide a high-level description of the major components of this program.</v>
      </c>
      <c r="H92" s="34">
        <v>1</v>
      </c>
      <c r="I92" s="35" t="s">
        <v>410</v>
      </c>
      <c r="J92" s="80"/>
      <c r="K92" s="83"/>
      <c r="L92" s="81">
        <f t="shared" si="2"/>
        <v>0</v>
      </c>
      <c r="M92" s="123"/>
      <c r="N92" s="123"/>
      <c r="O92" s="123"/>
      <c r="P92" s="124" t="s">
        <v>768</v>
      </c>
      <c r="Q92" s="124" t="s">
        <v>768</v>
      </c>
      <c r="R92" s="124" t="s">
        <v>732</v>
      </c>
      <c r="S92" s="122" t="s">
        <v>733</v>
      </c>
      <c r="T92" s="124" t="s">
        <v>769</v>
      </c>
      <c r="U92" s="126" t="s">
        <v>770</v>
      </c>
      <c r="V92" s="117" t="s">
        <v>771</v>
      </c>
    </row>
    <row r="93" spans="1:176" s="1" customFormat="1" ht="114" x14ac:dyDescent="0.2">
      <c r="A93" s="97" t="s">
        <v>166</v>
      </c>
      <c r="B93" s="3" t="s">
        <v>504</v>
      </c>
      <c r="C93" s="14" t="s">
        <v>115</v>
      </c>
      <c r="D93" s="14"/>
      <c r="E93" s="14"/>
      <c r="F93" s="13"/>
      <c r="G93" s="54" t="str">
        <f>IF(C93="","",IF(C93="Yes","List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List all supported multi-factor authentication methods, technologies, and/or products and provide a brief summary of each. Describe when users would receive the two-factor prompt (e.g. every login, remote access, administrator access, etc.).</v>
      </c>
      <c r="H93" s="34">
        <v>1.1000000000000001</v>
      </c>
      <c r="I93" s="35"/>
      <c r="J93" s="80"/>
      <c r="K93" s="83"/>
      <c r="L93" s="81">
        <f t="shared" si="2"/>
        <v>0</v>
      </c>
      <c r="M93" s="123"/>
      <c r="N93" s="123" t="s">
        <v>762</v>
      </c>
      <c r="O93" s="123" t="s">
        <v>763</v>
      </c>
      <c r="P93" s="122" t="s">
        <v>772</v>
      </c>
      <c r="Q93" s="122" t="s">
        <v>772</v>
      </c>
      <c r="R93" s="124" t="s">
        <v>773</v>
      </c>
      <c r="S93" s="122" t="s">
        <v>774</v>
      </c>
      <c r="T93" s="124" t="s">
        <v>775</v>
      </c>
      <c r="U93" s="118" t="s">
        <v>776</v>
      </c>
      <c r="V93" s="117"/>
    </row>
    <row r="94" spans="1:176" s="1" customFormat="1" ht="31.5" x14ac:dyDescent="0.2">
      <c r="A94" s="97" t="s">
        <v>167</v>
      </c>
      <c r="B94" s="19" t="s">
        <v>260</v>
      </c>
      <c r="C94" s="14" t="s">
        <v>115</v>
      </c>
      <c r="D94" s="14"/>
      <c r="E94" s="14"/>
      <c r="F94" s="22"/>
      <c r="G94" s="53" t="str">
        <f>IF(C94="","",IF(C94="Yes","Please describe the approval process.","Please describe how access is granted and managed."))</f>
        <v>Please describe the approval process.</v>
      </c>
      <c r="H94" s="34">
        <v>5</v>
      </c>
      <c r="I94" s="35" t="s">
        <v>411</v>
      </c>
      <c r="J94" s="80"/>
      <c r="K94" s="83"/>
      <c r="L94" s="81">
        <f t="shared" si="2"/>
        <v>0</v>
      </c>
      <c r="M94" s="123"/>
      <c r="N94" s="123" t="s">
        <v>764</v>
      </c>
      <c r="O94" s="125" t="s">
        <v>765</v>
      </c>
      <c r="P94" s="124" t="s">
        <v>777</v>
      </c>
      <c r="Q94" s="124" t="s">
        <v>777</v>
      </c>
      <c r="R94" s="124" t="s">
        <v>732</v>
      </c>
      <c r="S94" s="122" t="s">
        <v>733</v>
      </c>
      <c r="T94" s="124" t="s">
        <v>778</v>
      </c>
      <c r="U94" s="126" t="s">
        <v>779</v>
      </c>
      <c r="V94" s="117" t="s">
        <v>742</v>
      </c>
    </row>
    <row r="95" spans="1:176" s="1" customFormat="1" ht="47.25" x14ac:dyDescent="0.2">
      <c r="A95" s="97" t="s">
        <v>168</v>
      </c>
      <c r="B95" s="19" t="s">
        <v>596</v>
      </c>
      <c r="C95" s="14" t="s">
        <v>115</v>
      </c>
      <c r="D95" s="14"/>
      <c r="E95" s="14"/>
      <c r="F95" s="22"/>
      <c r="G95" s="53"/>
      <c r="H95" s="35">
        <v>6</v>
      </c>
      <c r="I95" s="35" t="s">
        <v>412</v>
      </c>
      <c r="J95" s="80"/>
      <c r="K95" s="83"/>
      <c r="L95" s="81">
        <f t="shared" si="2"/>
        <v>0</v>
      </c>
      <c r="M95" s="123"/>
      <c r="N95" s="123" t="s">
        <v>721</v>
      </c>
      <c r="O95" s="123"/>
      <c r="P95" s="122" t="s">
        <v>780</v>
      </c>
      <c r="Q95" s="122" t="s">
        <v>780</v>
      </c>
      <c r="R95" s="124" t="s">
        <v>781</v>
      </c>
      <c r="S95" s="122" t="s">
        <v>733</v>
      </c>
      <c r="T95" s="124" t="s">
        <v>782</v>
      </c>
      <c r="U95" s="118" t="s">
        <v>735</v>
      </c>
      <c r="V95" s="117" t="s">
        <v>742</v>
      </c>
    </row>
    <row r="96" spans="1:176" s="1" customFormat="1" ht="47.25" x14ac:dyDescent="0.2">
      <c r="A96" s="97" t="s">
        <v>356</v>
      </c>
      <c r="B96" s="19" t="s">
        <v>597</v>
      </c>
      <c r="C96" s="14" t="s">
        <v>115</v>
      </c>
      <c r="D96" s="14"/>
      <c r="E96" s="14"/>
      <c r="F96" s="22"/>
      <c r="G96" s="53"/>
      <c r="H96" s="35">
        <v>8</v>
      </c>
      <c r="I96" s="35" t="s">
        <v>413</v>
      </c>
      <c r="J96" s="80"/>
      <c r="K96" s="83"/>
      <c r="L96" s="81">
        <f t="shared" si="2"/>
        <v>0</v>
      </c>
      <c r="M96" s="123" t="s">
        <v>719</v>
      </c>
      <c r="N96" s="123" t="s">
        <v>764</v>
      </c>
      <c r="O96" s="125" t="s">
        <v>765</v>
      </c>
      <c r="P96" s="122" t="s">
        <v>780</v>
      </c>
      <c r="Q96" s="122" t="s">
        <v>780</v>
      </c>
      <c r="R96" s="124" t="s">
        <v>781</v>
      </c>
      <c r="S96" s="122" t="s">
        <v>733</v>
      </c>
      <c r="T96" s="124" t="s">
        <v>782</v>
      </c>
      <c r="U96" s="118" t="s">
        <v>735</v>
      </c>
      <c r="V96" s="117" t="s">
        <v>742</v>
      </c>
    </row>
    <row r="97" spans="1:176" s="1" customFormat="1" ht="42.75" x14ac:dyDescent="0.2">
      <c r="A97" s="97" t="s">
        <v>169</v>
      </c>
      <c r="B97" s="19" t="s">
        <v>350</v>
      </c>
      <c r="C97" s="14" t="s">
        <v>115</v>
      </c>
      <c r="D97" s="14"/>
      <c r="E97" s="14"/>
      <c r="F97" s="22"/>
      <c r="G97" s="53" t="str">
        <f>IF(C97="","",IF(C97="Yes","","If not reviewed annually, please provide frequency. If not reviewed, please state plans to implement periodic access reviews."))</f>
        <v/>
      </c>
      <c r="H97" s="35">
        <v>7</v>
      </c>
      <c r="I97" s="35" t="s">
        <v>414</v>
      </c>
      <c r="J97" s="80"/>
      <c r="K97" s="83"/>
      <c r="L97" s="81">
        <f t="shared" si="2"/>
        <v>0</v>
      </c>
      <c r="M97" s="123"/>
      <c r="N97" s="123"/>
      <c r="O97" s="123"/>
      <c r="P97" s="122" t="s">
        <v>780</v>
      </c>
      <c r="Q97" s="122" t="s">
        <v>780</v>
      </c>
      <c r="R97" s="124" t="s">
        <v>732</v>
      </c>
      <c r="S97" s="122" t="s">
        <v>733</v>
      </c>
      <c r="T97" s="124" t="s">
        <v>783</v>
      </c>
      <c r="U97" s="118" t="s">
        <v>735</v>
      </c>
      <c r="V97" s="127" t="s">
        <v>784</v>
      </c>
    </row>
    <row r="98" spans="1:176" s="1" customFormat="1" ht="42.75" x14ac:dyDescent="0.2">
      <c r="A98" s="97" t="s">
        <v>170</v>
      </c>
      <c r="B98" s="19" t="s">
        <v>345</v>
      </c>
      <c r="C98" s="14" t="s">
        <v>115</v>
      </c>
      <c r="D98" s="14"/>
      <c r="E98" s="14"/>
      <c r="F98" s="22"/>
      <c r="G98" s="53" t="str">
        <f>IF(C98="","",IF(C98="Yes","","If not reviewed annually, please provide frequency. If not reviewed, please state plans to implement periodic access reviews."))</f>
        <v/>
      </c>
      <c r="H98" s="34">
        <v>9</v>
      </c>
      <c r="I98" s="35" t="s">
        <v>415</v>
      </c>
      <c r="J98" s="80"/>
      <c r="K98" s="83"/>
      <c r="L98" s="81">
        <f t="shared" si="2"/>
        <v>0</v>
      </c>
      <c r="M98" s="123"/>
      <c r="N98" s="123"/>
      <c r="O98" s="123"/>
      <c r="P98" s="122" t="s">
        <v>780</v>
      </c>
      <c r="Q98" s="122" t="s">
        <v>780</v>
      </c>
      <c r="R98" s="124" t="s">
        <v>732</v>
      </c>
      <c r="S98" s="122" t="s">
        <v>733</v>
      </c>
      <c r="T98" s="124" t="s">
        <v>783</v>
      </c>
      <c r="U98" s="118" t="s">
        <v>735</v>
      </c>
      <c r="V98" s="127" t="s">
        <v>784</v>
      </c>
    </row>
    <row r="99" spans="1:176" s="1" customFormat="1" ht="85.5" x14ac:dyDescent="0.2">
      <c r="A99" s="97" t="s">
        <v>171</v>
      </c>
      <c r="B99" s="19" t="s">
        <v>103</v>
      </c>
      <c r="C99" s="14" t="s">
        <v>115</v>
      </c>
      <c r="D99" s="14"/>
      <c r="E99" s="14"/>
      <c r="F99" s="23"/>
      <c r="G99" s="53" t="str">
        <f>IF(C99="","",IF(C99="Yes","Submit documentation and/or web resources as to how remote access is provided, including security controls on the access (i.e., is multifactor authentication used?).","Provide details that prevent this capability."))</f>
        <v>Submit documentation and/or web resources as to how remote access is provided, including security controls on the access (i.e., is multifactor authentication used?).</v>
      </c>
      <c r="H99" s="34"/>
      <c r="I99" s="35"/>
      <c r="J99" s="80"/>
      <c r="K99" s="83"/>
      <c r="L99" s="81">
        <f t="shared" si="2"/>
        <v>0</v>
      </c>
      <c r="M99" s="123"/>
      <c r="N99" s="123" t="s">
        <v>766</v>
      </c>
      <c r="O99" s="123"/>
      <c r="P99" s="122" t="s">
        <v>785</v>
      </c>
      <c r="Q99" s="122" t="s">
        <v>786</v>
      </c>
      <c r="R99" s="122" t="s">
        <v>787</v>
      </c>
      <c r="S99" s="122" t="s">
        <v>788</v>
      </c>
      <c r="T99" s="124" t="s">
        <v>789</v>
      </c>
      <c r="U99" s="118" t="s">
        <v>790</v>
      </c>
      <c r="V99" s="117" t="s">
        <v>771</v>
      </c>
    </row>
    <row r="100" spans="1:176" s="1" customFormat="1" ht="63" x14ac:dyDescent="0.2">
      <c r="A100" s="97" t="s">
        <v>172</v>
      </c>
      <c r="B100" s="19" t="s">
        <v>598</v>
      </c>
      <c r="C100" s="14" t="s">
        <v>115</v>
      </c>
      <c r="D100" s="14"/>
      <c r="E100" s="14"/>
      <c r="F100" s="23"/>
      <c r="G100" s="53"/>
      <c r="H100" s="34">
        <v>14</v>
      </c>
      <c r="I100" s="35" t="s">
        <v>416</v>
      </c>
      <c r="J100" s="80"/>
      <c r="K100" s="83"/>
      <c r="L100" s="81">
        <f t="shared" si="2"/>
        <v>0</v>
      </c>
      <c r="M100" s="123"/>
      <c r="N100" s="125" t="s">
        <v>1184</v>
      </c>
      <c r="O100" s="123"/>
      <c r="P100" s="122" t="s">
        <v>785</v>
      </c>
      <c r="Q100" s="122" t="s">
        <v>786</v>
      </c>
      <c r="R100" s="124" t="s">
        <v>1178</v>
      </c>
      <c r="S100" s="122" t="s">
        <v>788</v>
      </c>
      <c r="T100" s="124" t="s">
        <v>791</v>
      </c>
      <c r="U100" s="118" t="s">
        <v>790</v>
      </c>
      <c r="V100" s="117" t="s">
        <v>742</v>
      </c>
    </row>
    <row r="101" spans="1:176" s="1" customFormat="1" ht="42.75" x14ac:dyDescent="0.2">
      <c r="A101" s="97" t="s">
        <v>173</v>
      </c>
      <c r="B101" s="19" t="s">
        <v>341</v>
      </c>
      <c r="C101" s="14" t="s">
        <v>115</v>
      </c>
      <c r="D101" s="14"/>
      <c r="E101" s="14"/>
      <c r="F101" s="22"/>
      <c r="G101" s="54" t="str">
        <f>IF(C101="","",IF(C101="Yes","Please describe the reason for remote access as well as the process for achieving it.","Please describe in sufficient detail."))</f>
        <v>Please describe the reason for remote access as well as the process for achieving it.</v>
      </c>
      <c r="H101" s="34">
        <v>15</v>
      </c>
      <c r="I101" s="35" t="s">
        <v>417</v>
      </c>
      <c r="J101" s="80"/>
      <c r="K101" s="83"/>
      <c r="L101" s="81">
        <f t="shared" si="2"/>
        <v>0</v>
      </c>
      <c r="M101" s="123" t="s">
        <v>767</v>
      </c>
      <c r="N101" s="125" t="s">
        <v>1183</v>
      </c>
      <c r="O101" s="123"/>
      <c r="P101" s="122" t="s">
        <v>785</v>
      </c>
      <c r="Q101" s="122" t="s">
        <v>786</v>
      </c>
      <c r="R101" s="122" t="s">
        <v>787</v>
      </c>
      <c r="S101" s="122" t="s">
        <v>792</v>
      </c>
      <c r="T101" s="124" t="s">
        <v>791</v>
      </c>
      <c r="U101" s="118" t="s">
        <v>790</v>
      </c>
      <c r="V101" s="117" t="s">
        <v>771</v>
      </c>
    </row>
    <row r="102" spans="1:176" s="1" customFormat="1" ht="63" x14ac:dyDescent="0.2">
      <c r="A102" s="97" t="s">
        <v>174</v>
      </c>
      <c r="B102" s="19" t="s">
        <v>505</v>
      </c>
      <c r="C102" s="14" t="s">
        <v>115</v>
      </c>
      <c r="D102" s="14"/>
      <c r="E102" s="14"/>
      <c r="F102" s="22"/>
      <c r="G102" s="54" t="str">
        <f>IF(C102="","",IF(C102="Yes","Please describe how remote access sessions are ended.",""))</f>
        <v>Please describe how remote access sessions are ended.</v>
      </c>
      <c r="H102" s="34">
        <v>17</v>
      </c>
      <c r="I102" s="35" t="s">
        <v>418</v>
      </c>
      <c r="J102" s="80"/>
      <c r="K102" s="83"/>
      <c r="L102" s="81">
        <f t="shared" si="2"/>
        <v>0</v>
      </c>
      <c r="M102" s="123"/>
      <c r="N102" s="125" t="s">
        <v>1182</v>
      </c>
      <c r="O102" s="123"/>
      <c r="P102" s="122" t="s">
        <v>785</v>
      </c>
      <c r="Q102" s="124" t="s">
        <v>793</v>
      </c>
      <c r="R102" s="124" t="s">
        <v>794</v>
      </c>
      <c r="S102" s="122" t="s">
        <v>788</v>
      </c>
      <c r="T102" s="124" t="s">
        <v>795</v>
      </c>
      <c r="U102" s="118" t="s">
        <v>790</v>
      </c>
      <c r="V102" s="117"/>
    </row>
    <row r="103" spans="1:176" s="1" customFormat="1" ht="42.75" x14ac:dyDescent="0.2">
      <c r="A103" s="97" t="s">
        <v>175</v>
      </c>
      <c r="B103" s="19" t="s">
        <v>634</v>
      </c>
      <c r="C103" s="14" t="s">
        <v>115</v>
      </c>
      <c r="D103" s="14"/>
      <c r="E103" s="14"/>
      <c r="F103" s="22"/>
      <c r="G103" s="54" t="str">
        <f>IF(C103="","",IF(C103="Yes","Please describe how this is accomplished.",""))</f>
        <v>Please describe how this is accomplished.</v>
      </c>
      <c r="H103" s="34">
        <v>19</v>
      </c>
      <c r="I103" s="35" t="s">
        <v>419</v>
      </c>
      <c r="J103" s="80"/>
      <c r="K103" s="83"/>
      <c r="L103" s="81">
        <f t="shared" si="2"/>
        <v>0</v>
      </c>
      <c r="M103" s="123"/>
      <c r="N103" s="123"/>
      <c r="O103" s="123"/>
      <c r="P103" s="124" t="s">
        <v>796</v>
      </c>
      <c r="Q103" s="124" t="s">
        <v>796</v>
      </c>
      <c r="R103" s="124" t="s">
        <v>797</v>
      </c>
      <c r="S103" s="122" t="s">
        <v>792</v>
      </c>
      <c r="T103" s="124" t="s">
        <v>798</v>
      </c>
      <c r="U103" s="118" t="s">
        <v>799</v>
      </c>
      <c r="V103" s="117" t="s">
        <v>800</v>
      </c>
    </row>
    <row r="104" spans="1:176" ht="63" x14ac:dyDescent="0.2">
      <c r="A104" s="97" t="s">
        <v>176</v>
      </c>
      <c r="B104" s="19" t="s">
        <v>142</v>
      </c>
      <c r="C104" s="14" t="s">
        <v>115</v>
      </c>
      <c r="D104" s="14"/>
      <c r="E104" s="14"/>
      <c r="F104" s="20"/>
      <c r="G104" s="54" t="str">
        <f>IF(C104="","",IF(C104="Yes","Describe how aging requirements are implemented, including expiration timeframes.","Describe plans to support password/passphrase aging requirements."))</f>
        <v>Describe how aging requirements are implemented, including expiration timeframes.</v>
      </c>
      <c r="H104" s="34"/>
      <c r="I104" s="35"/>
      <c r="J104" s="80"/>
      <c r="K104" s="83"/>
      <c r="L104" s="81">
        <f t="shared" si="2"/>
        <v>0</v>
      </c>
      <c r="M104" s="123"/>
      <c r="N104" s="123"/>
      <c r="O104" s="123"/>
      <c r="P104" s="122"/>
      <c r="Q104" s="122" t="s">
        <v>801</v>
      </c>
      <c r="R104" s="122" t="s">
        <v>802</v>
      </c>
      <c r="S104" s="122" t="s">
        <v>774</v>
      </c>
      <c r="T104" s="124" t="s">
        <v>803</v>
      </c>
      <c r="U104" s="118" t="s">
        <v>776</v>
      </c>
      <c r="V104" s="117" t="s">
        <v>771</v>
      </c>
      <c r="FT104"/>
    </row>
    <row r="105" spans="1:176" s="1" customFormat="1" ht="63" x14ac:dyDescent="0.2">
      <c r="A105" s="97" t="s">
        <v>177</v>
      </c>
      <c r="B105" s="19" t="s">
        <v>138</v>
      </c>
      <c r="C105" s="14" t="s">
        <v>115</v>
      </c>
      <c r="D105" s="14"/>
      <c r="E105" s="14"/>
      <c r="F105" s="20"/>
      <c r="G105" s="54"/>
      <c r="H105" s="34"/>
      <c r="I105" s="35"/>
      <c r="J105" s="80"/>
      <c r="K105" s="83"/>
      <c r="L105" s="81">
        <f t="shared" si="2"/>
        <v>0</v>
      </c>
      <c r="M105" s="123"/>
      <c r="N105" s="123"/>
      <c r="O105" s="123"/>
      <c r="P105" s="122"/>
      <c r="Q105" s="122" t="s">
        <v>801</v>
      </c>
      <c r="R105" s="122" t="s">
        <v>804</v>
      </c>
      <c r="S105" s="122" t="s">
        <v>774</v>
      </c>
      <c r="T105" s="124" t="s">
        <v>805</v>
      </c>
      <c r="U105" s="118" t="s">
        <v>776</v>
      </c>
      <c r="V105" s="117" t="s">
        <v>771</v>
      </c>
    </row>
    <row r="106" spans="1:176" s="1" customFormat="1" ht="63" x14ac:dyDescent="0.2">
      <c r="A106" s="96" t="s">
        <v>625</v>
      </c>
      <c r="B106" s="19" t="s">
        <v>626</v>
      </c>
      <c r="C106" s="14" t="s">
        <v>115</v>
      </c>
      <c r="D106" s="14"/>
      <c r="E106" s="14"/>
      <c r="F106" s="20"/>
      <c r="G106" s="54" t="str">
        <f>IF(C106="","",IF(C106="Yes","Describe your policy for preventing the use of shared accounts and shared credentials.","Describe plans to prevent the use of shared accounts and shared passwords."))</f>
        <v>Describe your policy for preventing the use of shared accounts and shared credentials.</v>
      </c>
      <c r="H106" s="34"/>
      <c r="I106" s="35"/>
      <c r="J106" s="80"/>
      <c r="K106" s="83"/>
      <c r="L106" s="81">
        <f t="shared" si="2"/>
        <v>0</v>
      </c>
      <c r="M106" s="123"/>
      <c r="N106" s="123"/>
      <c r="O106" s="123"/>
      <c r="P106" s="122"/>
      <c r="Q106" s="122" t="s">
        <v>780</v>
      </c>
      <c r="R106" s="122" t="s">
        <v>806</v>
      </c>
      <c r="S106" s="122" t="s">
        <v>807</v>
      </c>
      <c r="T106" s="124" t="s">
        <v>836</v>
      </c>
      <c r="U106" s="118" t="s">
        <v>808</v>
      </c>
      <c r="V106" s="117"/>
    </row>
    <row r="107" spans="1:176" s="1" customFormat="1" ht="71.25" x14ac:dyDescent="0.2">
      <c r="A107" s="97" t="s">
        <v>178</v>
      </c>
      <c r="B107" s="19" t="s">
        <v>106</v>
      </c>
      <c r="C107" s="14" t="s">
        <v>115</v>
      </c>
      <c r="D107" s="14"/>
      <c r="E107" s="14"/>
      <c r="F107" s="24"/>
      <c r="G107" s="54" t="str">
        <f>IF(C107="","",IF(C107="Yes","Describe your documented password/passphrase reset procedures that are currently implemented in the system and/or customer support.","Describe your plans to document system password/passphrase reset procedures."))</f>
        <v>Describe your documented password/passphrase reset procedures that are currently implemented in the system and/or customer support.</v>
      </c>
      <c r="H107" s="34"/>
      <c r="I107" s="35"/>
      <c r="J107" s="80"/>
      <c r="K107" s="83"/>
      <c r="L107" s="81">
        <f t="shared" si="2"/>
        <v>0</v>
      </c>
      <c r="M107" s="123"/>
      <c r="N107" s="123"/>
      <c r="O107" s="123"/>
      <c r="P107" s="122"/>
      <c r="Q107" s="122" t="s">
        <v>801</v>
      </c>
      <c r="R107" s="122"/>
      <c r="S107" s="122"/>
      <c r="T107" s="122"/>
      <c r="U107" s="118"/>
      <c r="V107" s="117" t="s">
        <v>771</v>
      </c>
    </row>
    <row r="108" spans="1:176" s="1" customFormat="1" ht="57" x14ac:dyDescent="0.2">
      <c r="A108" s="97" t="s">
        <v>179</v>
      </c>
      <c r="B108" s="19" t="s">
        <v>107</v>
      </c>
      <c r="C108" s="14" t="s">
        <v>115</v>
      </c>
      <c r="D108" s="14"/>
      <c r="E108" s="14"/>
      <c r="F108" s="20"/>
      <c r="G108" s="54" t="str">
        <f>IF(C108="","",IF(C108="Yes","Provide a detailed description of passwords/passphrases hard-coded into your systems or products.",""))</f>
        <v>Provide a detailed description of passwords/passphrases hard-coded into your systems or products.</v>
      </c>
      <c r="H108" s="34"/>
      <c r="I108" s="35"/>
      <c r="J108" s="80"/>
      <c r="K108" s="83"/>
      <c r="L108" s="81">
        <f t="shared" si="2"/>
        <v>0</v>
      </c>
      <c r="M108" s="123"/>
      <c r="N108" s="123"/>
      <c r="O108" s="123"/>
      <c r="P108" s="122"/>
      <c r="Q108" s="122"/>
      <c r="R108" s="122"/>
      <c r="S108" s="122"/>
      <c r="T108" s="122"/>
      <c r="U108" s="118"/>
      <c r="V108" s="117"/>
    </row>
    <row r="109" spans="1:176" s="1" customFormat="1" ht="57" x14ac:dyDescent="0.2">
      <c r="A109" s="97" t="s">
        <v>180</v>
      </c>
      <c r="B109" s="19" t="s">
        <v>108</v>
      </c>
      <c r="C109" s="14" t="s">
        <v>115</v>
      </c>
      <c r="D109" s="14"/>
      <c r="E109" s="14"/>
      <c r="F109" s="20"/>
      <c r="G109" s="54" t="str">
        <f>IF(C109="","",IF(C109="Yes","Provide a detailed description stating why user account passwords/passphrases are visible by administrators.",""))</f>
        <v>Provide a detailed description stating why user account passwords/passphrases are visible by administrators.</v>
      </c>
      <c r="H109" s="34"/>
      <c r="I109" s="35"/>
      <c r="J109" s="80"/>
      <c r="K109" s="83"/>
      <c r="L109" s="81">
        <f t="shared" si="2"/>
        <v>0</v>
      </c>
      <c r="M109" s="123"/>
      <c r="N109" s="123"/>
      <c r="O109" s="123"/>
      <c r="P109" s="122"/>
      <c r="Q109" s="122"/>
      <c r="R109" s="122"/>
      <c r="S109" s="122"/>
      <c r="T109" s="122"/>
      <c r="U109" s="118"/>
      <c r="V109" s="117"/>
    </row>
    <row r="110" spans="1:176" s="1" customFormat="1" ht="71.25" x14ac:dyDescent="0.2">
      <c r="A110" s="97" t="s">
        <v>259</v>
      </c>
      <c r="B110" s="19" t="s">
        <v>635</v>
      </c>
      <c r="C110" s="14" t="s">
        <v>115</v>
      </c>
      <c r="D110" s="14"/>
      <c r="E110" s="14"/>
      <c r="F110" s="20"/>
      <c r="G110" s="54" t="str">
        <f>IF(C110="","",IF(C110="Yes","Describe or provide a reference to the algorithm/strategy that is used to encrypt in transit and at rest passwords/passphrases/credentials.","Provide a detailed description stating why user account passwords/passphrases/credentials are not encrypted in transit and at rest."))</f>
        <v>Describe or provide a reference to the algorithm/strategy that is used to encrypt in transit and at rest passwords/passphrases/credentials.</v>
      </c>
      <c r="H110" s="34"/>
      <c r="I110" s="35"/>
      <c r="J110" s="80"/>
      <c r="K110" s="83"/>
      <c r="L110" s="81">
        <f t="shared" si="2"/>
        <v>0</v>
      </c>
      <c r="M110" s="123"/>
      <c r="N110" s="123"/>
      <c r="O110" s="123"/>
      <c r="P110" s="122" t="s">
        <v>809</v>
      </c>
      <c r="Q110" s="124" t="s">
        <v>810</v>
      </c>
      <c r="R110" s="122" t="s">
        <v>811</v>
      </c>
      <c r="S110" s="124" t="s">
        <v>812</v>
      </c>
      <c r="T110" s="124" t="s">
        <v>813</v>
      </c>
      <c r="U110" s="118" t="s">
        <v>814</v>
      </c>
      <c r="V110" s="127" t="s">
        <v>815</v>
      </c>
    </row>
    <row r="111" spans="1:176" s="1" customFormat="1" ht="99.75" x14ac:dyDescent="0.2">
      <c r="A111" s="97" t="s">
        <v>261</v>
      </c>
      <c r="B111" s="19" t="s">
        <v>481</v>
      </c>
      <c r="C111" s="49" t="s">
        <v>115</v>
      </c>
      <c r="D111" s="49"/>
      <c r="E111" s="49"/>
      <c r="F111" s="20"/>
      <c r="G111" s="54" t="s">
        <v>140</v>
      </c>
      <c r="H111" s="34"/>
      <c r="I111" s="35"/>
      <c r="J111" s="80"/>
      <c r="K111" s="83"/>
      <c r="L111" s="81">
        <f t="shared" si="2"/>
        <v>0</v>
      </c>
      <c r="M111" s="123"/>
      <c r="N111" s="123" t="s">
        <v>762</v>
      </c>
      <c r="O111" s="123" t="s">
        <v>763</v>
      </c>
      <c r="P111" s="122" t="s">
        <v>772</v>
      </c>
      <c r="Q111" s="124" t="s">
        <v>816</v>
      </c>
      <c r="R111" s="124" t="s">
        <v>773</v>
      </c>
      <c r="S111" s="122" t="s">
        <v>774</v>
      </c>
      <c r="T111" s="124" t="s">
        <v>817</v>
      </c>
      <c r="U111" s="118"/>
      <c r="V111" s="117"/>
    </row>
    <row r="112" spans="1:176" s="1" customFormat="1" ht="31.5" x14ac:dyDescent="0.2">
      <c r="A112" s="97" t="s">
        <v>263</v>
      </c>
      <c r="B112" s="19" t="s">
        <v>482</v>
      </c>
      <c r="C112" s="49" t="s">
        <v>115</v>
      </c>
      <c r="D112" s="49"/>
      <c r="E112" s="49"/>
      <c r="F112" s="20"/>
      <c r="G112" s="54"/>
      <c r="H112" s="34"/>
      <c r="I112" s="35"/>
      <c r="J112" s="80"/>
      <c r="K112" s="83"/>
      <c r="L112" s="81">
        <f t="shared" si="2"/>
        <v>0</v>
      </c>
      <c r="M112" s="123"/>
      <c r="N112" s="123"/>
      <c r="O112" s="123"/>
      <c r="P112" s="122" t="s">
        <v>772</v>
      </c>
      <c r="Q112" s="124" t="s">
        <v>816</v>
      </c>
      <c r="R112" s="122"/>
      <c r="S112" s="122"/>
      <c r="T112" s="122"/>
      <c r="U112" s="118"/>
      <c r="V112" s="117"/>
    </row>
    <row r="113" spans="1:22" s="1" customFormat="1" ht="42.75" x14ac:dyDescent="0.2">
      <c r="A113" s="97" t="s">
        <v>264</v>
      </c>
      <c r="B113" s="19" t="s">
        <v>483</v>
      </c>
      <c r="C113" s="14" t="s">
        <v>115</v>
      </c>
      <c r="D113" s="14"/>
      <c r="E113" s="14"/>
      <c r="F113" s="20"/>
      <c r="G113" s="54" t="str">
        <f>IF(C113="","",IF(C113="Yes","Describe all authentication services supported by the system.","Describe any plans to support external authentication services in place of local authentication."))</f>
        <v>Describe all authentication services supported by the system.</v>
      </c>
      <c r="H113" s="34"/>
      <c r="I113" s="35"/>
      <c r="J113" s="80"/>
      <c r="K113" s="83"/>
      <c r="L113" s="81">
        <f t="shared" si="2"/>
        <v>0</v>
      </c>
      <c r="M113" s="123"/>
      <c r="N113" s="123"/>
      <c r="O113" s="123"/>
      <c r="P113" s="122"/>
      <c r="Q113" s="122"/>
      <c r="R113" s="122"/>
      <c r="S113" s="122"/>
      <c r="T113" s="122" t="s">
        <v>734</v>
      </c>
      <c r="U113" s="118"/>
      <c r="V113" s="117"/>
    </row>
    <row r="114" spans="1:22" s="1" customFormat="1" ht="57" x14ac:dyDescent="0.2">
      <c r="A114" s="97" t="s">
        <v>265</v>
      </c>
      <c r="B114" s="19" t="s">
        <v>256</v>
      </c>
      <c r="C114" s="14" t="s">
        <v>115</v>
      </c>
      <c r="D114" s="14"/>
      <c r="E114" s="14"/>
      <c r="F114" s="20"/>
      <c r="G114" s="54" t="str">
        <f>IF(C114="","",IF(C114="Yes","Provide a description of logging capabilities. Ensure that all elements of IAM-24 are evaluated for your response.","Describe any plans to enable audit logs for these data elements."))</f>
        <v>Provide a description of logging capabilities. Ensure that all elements of IAM-24 are evaluated for your response.</v>
      </c>
      <c r="H114" s="34"/>
      <c r="I114" s="35"/>
      <c r="J114" s="80"/>
      <c r="K114" s="83"/>
      <c r="L114" s="81">
        <f t="shared" si="2"/>
        <v>0</v>
      </c>
      <c r="M114" s="123"/>
      <c r="N114" s="123"/>
      <c r="O114" s="123"/>
      <c r="P114" s="124" t="s">
        <v>818</v>
      </c>
      <c r="Q114" s="124" t="s">
        <v>819</v>
      </c>
      <c r="R114" s="122" t="s">
        <v>820</v>
      </c>
      <c r="S114" s="122" t="s">
        <v>821</v>
      </c>
      <c r="T114" s="122" t="s">
        <v>822</v>
      </c>
      <c r="U114" s="118" t="s">
        <v>823</v>
      </c>
      <c r="V114" s="117" t="s">
        <v>824</v>
      </c>
    </row>
    <row r="115" spans="1:22" s="1" customFormat="1" ht="85.5" x14ac:dyDescent="0.2">
      <c r="A115" s="97" t="s">
        <v>287</v>
      </c>
      <c r="B115" s="19" t="s">
        <v>506</v>
      </c>
      <c r="C115" s="148"/>
      <c r="D115" s="149"/>
      <c r="E115" s="149"/>
      <c r="F115" s="150"/>
      <c r="G115" s="54" t="s">
        <v>566</v>
      </c>
      <c r="H115" s="34"/>
      <c r="I115" s="35"/>
      <c r="J115" s="80"/>
      <c r="K115" s="83"/>
      <c r="L115" s="81">
        <f t="shared" si="2"/>
        <v>0</v>
      </c>
      <c r="M115" s="123"/>
      <c r="N115" s="123"/>
      <c r="O115" s="123"/>
      <c r="P115" s="122"/>
      <c r="Q115" s="122"/>
      <c r="R115" s="122"/>
      <c r="S115" s="122"/>
      <c r="T115" s="122"/>
      <c r="U115" s="118"/>
      <c r="V115" s="117"/>
    </row>
    <row r="116" spans="1:22" s="1" customFormat="1" ht="63" x14ac:dyDescent="0.2">
      <c r="A116" s="97" t="s">
        <v>288</v>
      </c>
      <c r="B116" s="19" t="s">
        <v>1199</v>
      </c>
      <c r="C116" s="14" t="s">
        <v>115</v>
      </c>
      <c r="D116" s="14"/>
      <c r="E116" s="14"/>
      <c r="F116" s="23"/>
      <c r="G116" s="100" t="str">
        <f>IF(C116="","",IF(C116="Yes","Describe how this is accomplished.","Describe any plans to implement role-based access controls for end users/administrators, as well as how access/what levels of access are currently granted to administrators."))</f>
        <v>Describe how this is accomplished.</v>
      </c>
      <c r="H116" s="34"/>
      <c r="I116" s="35"/>
      <c r="J116" s="80"/>
      <c r="K116" s="83"/>
      <c r="L116" s="81">
        <f t="shared" si="2"/>
        <v>0</v>
      </c>
      <c r="M116" s="123"/>
      <c r="N116" s="123"/>
      <c r="O116" s="123"/>
      <c r="P116" s="124" t="s">
        <v>730</v>
      </c>
      <c r="Q116" s="124" t="s">
        <v>730</v>
      </c>
      <c r="R116" s="124" t="s">
        <v>732</v>
      </c>
      <c r="S116" s="124" t="s">
        <v>825</v>
      </c>
      <c r="T116" s="124" t="s">
        <v>826</v>
      </c>
      <c r="U116" s="118" t="s">
        <v>827</v>
      </c>
      <c r="V116" s="117" t="s">
        <v>736</v>
      </c>
    </row>
    <row r="117" spans="1:22" s="1" customFormat="1" ht="63" x14ac:dyDescent="0.2">
      <c r="A117" s="97" t="s">
        <v>320</v>
      </c>
      <c r="B117" s="19" t="s">
        <v>508</v>
      </c>
      <c r="C117" s="49"/>
      <c r="D117" s="49"/>
      <c r="E117" s="49"/>
      <c r="F117" s="23"/>
      <c r="G117" s="53" t="s">
        <v>262</v>
      </c>
      <c r="H117" s="34"/>
      <c r="I117" s="35"/>
      <c r="J117" s="80"/>
      <c r="K117" s="83"/>
      <c r="L117" s="81">
        <f t="shared" si="2"/>
        <v>0</v>
      </c>
      <c r="M117" s="123"/>
      <c r="N117" s="123"/>
      <c r="O117" s="123"/>
      <c r="P117" s="122" t="s">
        <v>828</v>
      </c>
      <c r="Q117" s="122" t="s">
        <v>828</v>
      </c>
      <c r="R117" s="122" t="s">
        <v>829</v>
      </c>
      <c r="S117" s="122" t="s">
        <v>830</v>
      </c>
      <c r="T117" s="124" t="s">
        <v>831</v>
      </c>
      <c r="U117" s="118" t="s">
        <v>832</v>
      </c>
      <c r="V117" s="117" t="s">
        <v>736</v>
      </c>
    </row>
    <row r="118" spans="1:22" s="1" customFormat="1" ht="63" x14ac:dyDescent="0.2">
      <c r="A118" s="97" t="s">
        <v>357</v>
      </c>
      <c r="B118" s="19" t="s">
        <v>248</v>
      </c>
      <c r="C118" s="14" t="s">
        <v>115</v>
      </c>
      <c r="D118" s="14"/>
      <c r="E118" s="14"/>
      <c r="F118" s="23"/>
      <c r="G118" s="55" t="str">
        <f>IF(C118="","",IF(C118="Yes","Describe or attach your policy or process.","Describe how the provisioning and administration of administrative accounts is currently carried out, as well as any plans to implement such a policy or process."))</f>
        <v>Describe or attach your policy or process.</v>
      </c>
      <c r="H118" s="34"/>
      <c r="I118" s="35"/>
      <c r="J118" s="80"/>
      <c r="K118" s="83"/>
      <c r="L118" s="81">
        <f t="shared" si="2"/>
        <v>0</v>
      </c>
      <c r="M118" s="123"/>
      <c r="N118" s="123"/>
      <c r="O118" s="123"/>
      <c r="P118" s="124" t="s">
        <v>833</v>
      </c>
      <c r="Q118" s="124" t="s">
        <v>833</v>
      </c>
      <c r="R118" s="124" t="s">
        <v>732</v>
      </c>
      <c r="S118" s="124" t="s">
        <v>825</v>
      </c>
      <c r="T118" s="124" t="s">
        <v>834</v>
      </c>
      <c r="U118" s="118" t="s">
        <v>832</v>
      </c>
      <c r="V118" s="117" t="s">
        <v>736</v>
      </c>
    </row>
    <row r="119" spans="1:22" s="1" customFormat="1" ht="47.25" x14ac:dyDescent="0.2">
      <c r="A119" s="97" t="s">
        <v>421</v>
      </c>
      <c r="B119" s="19" t="s">
        <v>507</v>
      </c>
      <c r="C119" s="14" t="s">
        <v>115</v>
      </c>
      <c r="D119" s="14"/>
      <c r="E119" s="14"/>
      <c r="F119" s="23"/>
      <c r="G119" s="54" t="str">
        <f>IF(C119="","",IF(C119="Yes","Provide a brief summary and the review interval.","Describe plans to implement privileged account access-list reviews to your environment."))</f>
        <v>Provide a brief summary and the review interval.</v>
      </c>
      <c r="H119" s="34"/>
      <c r="I119" s="35"/>
      <c r="J119" s="80"/>
      <c r="K119" s="83"/>
      <c r="L119" s="81">
        <f t="shared" si="2"/>
        <v>0</v>
      </c>
      <c r="M119" s="123"/>
      <c r="N119" s="123"/>
      <c r="O119" s="123"/>
      <c r="P119" s="122" t="s">
        <v>780</v>
      </c>
      <c r="Q119" s="122" t="s">
        <v>780</v>
      </c>
      <c r="R119" s="124" t="s">
        <v>732</v>
      </c>
      <c r="S119" s="122" t="s">
        <v>733</v>
      </c>
      <c r="T119" s="124" t="s">
        <v>835</v>
      </c>
      <c r="U119" s="118" t="s">
        <v>735</v>
      </c>
      <c r="V119" s="117" t="s">
        <v>742</v>
      </c>
    </row>
    <row r="120" spans="1:22" s="1" customFormat="1" ht="108" x14ac:dyDescent="0.2">
      <c r="A120" s="138" t="s">
        <v>147</v>
      </c>
      <c r="B120" s="138"/>
      <c r="C120" s="2" t="s">
        <v>564</v>
      </c>
      <c r="D120" s="2" t="s">
        <v>565</v>
      </c>
      <c r="E120" s="2" t="s">
        <v>101</v>
      </c>
      <c r="F120" s="2" t="s">
        <v>17</v>
      </c>
      <c r="G120" s="2" t="s">
        <v>18</v>
      </c>
      <c r="H120" s="2" t="s">
        <v>348</v>
      </c>
      <c r="I120" s="2" t="s">
        <v>375</v>
      </c>
      <c r="J120" s="186" t="s">
        <v>615</v>
      </c>
      <c r="K120" s="187"/>
      <c r="L120" s="79">
        <f>SUM(L121:L140)</f>
        <v>0</v>
      </c>
      <c r="M120" s="104" t="s">
        <v>657</v>
      </c>
      <c r="N120" s="104" t="s">
        <v>658</v>
      </c>
      <c r="O120" s="104" t="s">
        <v>659</v>
      </c>
      <c r="P120" s="105" t="s">
        <v>660</v>
      </c>
      <c r="Q120" s="105" t="s">
        <v>661</v>
      </c>
      <c r="R120" s="105" t="s">
        <v>662</v>
      </c>
      <c r="S120" s="106" t="s">
        <v>663</v>
      </c>
      <c r="T120" s="107" t="s">
        <v>666</v>
      </c>
      <c r="U120" s="105" t="s">
        <v>669</v>
      </c>
      <c r="V120" s="105" t="s">
        <v>673</v>
      </c>
    </row>
    <row r="121" spans="1:22" s="1" customFormat="1" ht="99.75" x14ac:dyDescent="0.2">
      <c r="A121" s="96" t="s">
        <v>181</v>
      </c>
      <c r="B121" s="19" t="s">
        <v>599</v>
      </c>
      <c r="C121" s="14" t="s">
        <v>115</v>
      </c>
      <c r="D121" s="14"/>
      <c r="E121" s="14"/>
      <c r="F121" s="20"/>
      <c r="G121" s="54" t="str">
        <f>IF(C121="","",IF(C121="Yes","Provide a reference to your BCP and supporting documentation or submit it along with this fully-populated questionnaire. Please also describe how you ensure data availability in the event of the loss of systems or facilities.","Briefly summarize your response."))</f>
        <v>Provide a reference to your BCP and supporting documentation or submit it along with this fully-populated questionnaire. Please also describe how you ensure data availability in the event of the loss of systems or facilities.</v>
      </c>
      <c r="H121" s="34">
        <v>21</v>
      </c>
      <c r="I121" s="35" t="s">
        <v>422</v>
      </c>
      <c r="J121" s="80"/>
      <c r="K121" s="83"/>
      <c r="L121" s="81">
        <f t="shared" si="2"/>
        <v>0</v>
      </c>
      <c r="M121" s="123"/>
      <c r="N121" s="123"/>
      <c r="O121" s="123"/>
      <c r="P121" s="122" t="s">
        <v>842</v>
      </c>
      <c r="Q121" s="122" t="s">
        <v>842</v>
      </c>
      <c r="R121" s="122"/>
      <c r="S121" s="122" t="s">
        <v>843</v>
      </c>
      <c r="T121" s="122" t="s">
        <v>844</v>
      </c>
      <c r="U121" s="118" t="s">
        <v>845</v>
      </c>
      <c r="V121" s="117" t="s">
        <v>846</v>
      </c>
    </row>
    <row r="122" spans="1:22" s="1" customFormat="1" ht="28.5" x14ac:dyDescent="0.2">
      <c r="A122" s="96" t="s">
        <v>182</v>
      </c>
      <c r="B122" s="19" t="s">
        <v>33</v>
      </c>
      <c r="C122" s="14" t="s">
        <v>115</v>
      </c>
      <c r="D122" s="14"/>
      <c r="E122" s="14"/>
      <c r="F122" s="20"/>
      <c r="G122" s="54" t="str">
        <f>IF(C122="","",IF(C122="Yes","Describe your BCP component review strategy.","Describe any plans to annually review and update (as needed) your BCP."))</f>
        <v>Describe your BCP component review strategy.</v>
      </c>
      <c r="H122" s="34"/>
      <c r="I122" s="35" t="s">
        <v>423</v>
      </c>
      <c r="J122" s="80"/>
      <c r="K122" s="83"/>
      <c r="L122" s="81">
        <f t="shared" si="2"/>
        <v>0</v>
      </c>
      <c r="M122" s="123"/>
      <c r="N122" s="123"/>
      <c r="O122" s="123"/>
      <c r="P122" s="122" t="s">
        <v>842</v>
      </c>
      <c r="Q122" s="122" t="s">
        <v>842</v>
      </c>
      <c r="R122" s="122"/>
      <c r="S122" s="122" t="s">
        <v>843</v>
      </c>
      <c r="T122" s="122" t="s">
        <v>844</v>
      </c>
      <c r="U122" s="118" t="s">
        <v>845</v>
      </c>
      <c r="V122" s="117" t="s">
        <v>846</v>
      </c>
    </row>
    <row r="123" spans="1:22" s="1" customFormat="1" ht="28.5" x14ac:dyDescent="0.2">
      <c r="A123" s="97" t="s">
        <v>183</v>
      </c>
      <c r="B123" s="19" t="s">
        <v>34</v>
      </c>
      <c r="C123" s="14" t="s">
        <v>115</v>
      </c>
      <c r="D123" s="14"/>
      <c r="E123" s="14"/>
      <c r="F123" s="20"/>
      <c r="G123" s="54" t="str">
        <f>IF(C123="","",IF(C123="Yes","State the date of your last BCP test.","Describe your strategy to implement annual BCP testing."))</f>
        <v>State the date of your last BCP test.</v>
      </c>
      <c r="H123" s="34"/>
      <c r="I123" s="35"/>
      <c r="J123" s="80"/>
      <c r="K123" s="83"/>
      <c r="L123" s="81">
        <f t="shared" si="2"/>
        <v>0</v>
      </c>
      <c r="M123" s="123"/>
      <c r="N123" s="123"/>
      <c r="O123" s="123"/>
      <c r="P123" s="122" t="s">
        <v>847</v>
      </c>
      <c r="Q123" s="122" t="s">
        <v>847</v>
      </c>
      <c r="R123" s="122"/>
      <c r="S123" s="122" t="s">
        <v>848</v>
      </c>
      <c r="T123" s="122" t="s">
        <v>849</v>
      </c>
      <c r="U123" s="118" t="s">
        <v>845</v>
      </c>
      <c r="V123" s="117" t="s">
        <v>850</v>
      </c>
    </row>
    <row r="124" spans="1:22" s="1" customFormat="1" ht="128.25" x14ac:dyDescent="0.2">
      <c r="A124" s="96" t="s">
        <v>184</v>
      </c>
      <c r="B124" s="19" t="s">
        <v>102</v>
      </c>
      <c r="C124" s="14" t="s">
        <v>115</v>
      </c>
      <c r="D124" s="14"/>
      <c r="E124" s="14"/>
      <c r="F124" s="20"/>
      <c r="G124" s="100" t="str">
        <f>IF(C124="","",IF(C124="Yes","Provide your data privacy document, including frequency of updates. " &amp; "Indicate if the process ensures collection, storage, use, access, sharing, transport, retention and deletion of data in accordance with applicable law, privacy policy, privacy notices, and industry standard practices.","Describe plans to implement a data privacy process."))</f>
        <v>Provide your data privacy document, including frequency of updates. Indicate if the process ensures collection, storage, use, access, sharing, transport, retention and deletion of data in accordance with applicable law, privacy policy, privacy notices, and industry standard practices.</v>
      </c>
      <c r="H124" s="34"/>
      <c r="I124" s="35" t="s">
        <v>424</v>
      </c>
      <c r="J124" s="80"/>
      <c r="K124" s="83"/>
      <c r="L124" s="81">
        <f t="shared" si="2"/>
        <v>0</v>
      </c>
      <c r="M124" s="123"/>
      <c r="N124" s="123"/>
      <c r="O124" s="123"/>
      <c r="P124" s="122" t="s">
        <v>718</v>
      </c>
      <c r="Q124" s="122" t="s">
        <v>718</v>
      </c>
      <c r="R124" s="122"/>
      <c r="S124" s="122" t="s">
        <v>851</v>
      </c>
      <c r="T124" s="122"/>
      <c r="U124" s="118" t="s">
        <v>852</v>
      </c>
      <c r="V124" s="117" t="s">
        <v>853</v>
      </c>
    </row>
    <row r="125" spans="1:22" s="1" customFormat="1" ht="57" x14ac:dyDescent="0.2">
      <c r="A125" s="96" t="s">
        <v>185</v>
      </c>
      <c r="B125" s="19" t="s">
        <v>509</v>
      </c>
      <c r="C125" s="14" t="s">
        <v>115</v>
      </c>
      <c r="D125" s="14"/>
      <c r="E125" s="14"/>
      <c r="F125" s="20"/>
      <c r="G125" s="53" t="str">
        <f>IF(C125="","",IF(C125="Yes","Provide a reference to the requested documents, or provide them when submitting this fully-populated questionnaire.","State any plans to provide system and/or application architecture diagrams."))</f>
        <v>Provide a reference to the requested documents, or provide them when submitting this fully-populated questionnaire.</v>
      </c>
      <c r="H125" s="34"/>
      <c r="I125" s="35" t="s">
        <v>425</v>
      </c>
      <c r="J125" s="80"/>
      <c r="K125" s="83"/>
      <c r="L125" s="81">
        <f t="shared" si="2"/>
        <v>0</v>
      </c>
      <c r="M125" s="123"/>
      <c r="N125" s="123"/>
      <c r="O125" s="123"/>
      <c r="P125" s="122"/>
      <c r="Q125" s="122"/>
      <c r="R125" s="122"/>
      <c r="S125" s="122"/>
      <c r="T125" s="122" t="s">
        <v>854</v>
      </c>
      <c r="U125" s="118"/>
      <c r="V125" s="117"/>
    </row>
    <row r="126" spans="1:22" s="1" customFormat="1" ht="42.75" x14ac:dyDescent="0.2">
      <c r="A126" s="96" t="s">
        <v>186</v>
      </c>
      <c r="B126" s="19" t="s">
        <v>510</v>
      </c>
      <c r="C126" s="14" t="s">
        <v>115</v>
      </c>
      <c r="D126" s="14"/>
      <c r="E126" s="14"/>
      <c r="F126" s="20"/>
      <c r="G126" s="56" t="str">
        <f>IF(C126="","",IF(C126="Yes","Provide details of these procedures (link or attached).","Provide a detailed summary for this response, including your current end-of-life procedures."))</f>
        <v>Provide details of these procedures (link or attached).</v>
      </c>
      <c r="H126" s="34">
        <v>40</v>
      </c>
      <c r="I126" s="35" t="s">
        <v>426</v>
      </c>
      <c r="J126" s="80"/>
      <c r="K126" s="83"/>
      <c r="L126" s="81">
        <f t="shared" si="2"/>
        <v>0</v>
      </c>
      <c r="M126" s="123"/>
      <c r="N126" s="123"/>
      <c r="O126" s="123"/>
      <c r="P126" s="122" t="s">
        <v>855</v>
      </c>
      <c r="Q126" s="122" t="s">
        <v>855</v>
      </c>
      <c r="R126" s="124" t="s">
        <v>856</v>
      </c>
      <c r="S126" s="124" t="s">
        <v>857</v>
      </c>
      <c r="T126" s="124" t="s">
        <v>858</v>
      </c>
      <c r="U126" s="126" t="s">
        <v>859</v>
      </c>
      <c r="V126" s="127" t="s">
        <v>860</v>
      </c>
    </row>
    <row r="127" spans="1:22" s="1" customFormat="1" ht="47.25" x14ac:dyDescent="0.2">
      <c r="A127" s="96" t="s">
        <v>187</v>
      </c>
      <c r="B127" s="19" t="s">
        <v>484</v>
      </c>
      <c r="C127" s="14" t="s">
        <v>115</v>
      </c>
      <c r="D127" s="14"/>
      <c r="E127" s="14"/>
      <c r="F127" s="20"/>
      <c r="G127" s="56" t="str">
        <f>IF(C127="","",IF(C127="Yes","Please provide a brief description of this process.","State plans to support secure deletion for archived/backed-up Utility data."))</f>
        <v>Please provide a brief description of this process.</v>
      </c>
      <c r="H127" s="34">
        <v>46</v>
      </c>
      <c r="I127" s="35" t="s">
        <v>427</v>
      </c>
      <c r="J127" s="80"/>
      <c r="K127" s="83"/>
      <c r="L127" s="81">
        <f t="shared" si="2"/>
        <v>0</v>
      </c>
      <c r="M127" s="123"/>
      <c r="N127" s="123"/>
      <c r="O127" s="123"/>
      <c r="P127" s="122" t="s">
        <v>861</v>
      </c>
      <c r="Q127" s="124" t="s">
        <v>862</v>
      </c>
      <c r="R127" s="122" t="s">
        <v>863</v>
      </c>
      <c r="S127" s="122" t="s">
        <v>864</v>
      </c>
      <c r="T127" s="124" t="s">
        <v>865</v>
      </c>
      <c r="U127" s="126" t="s">
        <v>866</v>
      </c>
      <c r="V127" s="127" t="s">
        <v>867</v>
      </c>
    </row>
    <row r="128" spans="1:22" s="1" customFormat="1" ht="85.5" x14ac:dyDescent="0.2">
      <c r="A128" s="96" t="s">
        <v>188</v>
      </c>
      <c r="B128" s="19" t="s">
        <v>496</v>
      </c>
      <c r="C128" s="14" t="s">
        <v>115</v>
      </c>
      <c r="D128" s="14"/>
      <c r="E128" s="14"/>
      <c r="F128" s="20"/>
      <c r="G128" s="56" t="s">
        <v>622</v>
      </c>
      <c r="H128" s="34">
        <v>24</v>
      </c>
      <c r="I128" s="35" t="s">
        <v>428</v>
      </c>
      <c r="J128" s="80"/>
      <c r="K128" s="83"/>
      <c r="L128" s="81">
        <f t="shared" si="2"/>
        <v>0</v>
      </c>
      <c r="M128" s="123"/>
      <c r="N128" s="123"/>
      <c r="O128" s="123"/>
      <c r="P128" s="122" t="s">
        <v>868</v>
      </c>
      <c r="Q128" s="122" t="s">
        <v>868</v>
      </c>
      <c r="R128" s="122"/>
      <c r="S128" s="122"/>
      <c r="T128" s="124" t="s">
        <v>869</v>
      </c>
      <c r="U128" s="126" t="s">
        <v>870</v>
      </c>
      <c r="V128" s="127" t="s">
        <v>871</v>
      </c>
    </row>
    <row r="129" spans="1:176" s="1" customFormat="1" ht="99.75" x14ac:dyDescent="0.2">
      <c r="A129" s="96" t="s">
        <v>189</v>
      </c>
      <c r="B129" s="19" t="s">
        <v>511</v>
      </c>
      <c r="C129" s="14" t="s">
        <v>115</v>
      </c>
      <c r="D129" s="14"/>
      <c r="E129" s="14"/>
      <c r="F129" s="20"/>
      <c r="G129" s="56" t="str">
        <f>IF(C129="","",IF(C129="Yes","Please describe this program in adequate detail.",""))</f>
        <v>Please describe this program in adequate detail.</v>
      </c>
      <c r="H129" s="34">
        <v>54</v>
      </c>
      <c r="I129" s="35" t="s">
        <v>429</v>
      </c>
      <c r="J129" s="80"/>
      <c r="K129" s="83"/>
      <c r="L129" s="81">
        <f t="shared" si="2"/>
        <v>0</v>
      </c>
      <c r="M129" s="123" t="s">
        <v>676</v>
      </c>
      <c r="N129" s="123"/>
      <c r="O129" s="125" t="s">
        <v>839</v>
      </c>
      <c r="P129" s="124" t="s">
        <v>872</v>
      </c>
      <c r="Q129" s="124" t="s">
        <v>872</v>
      </c>
      <c r="R129" s="124" t="s">
        <v>873</v>
      </c>
      <c r="S129" s="124" t="s">
        <v>874</v>
      </c>
      <c r="T129" s="124" t="s">
        <v>875</v>
      </c>
      <c r="U129" s="126" t="s">
        <v>876</v>
      </c>
      <c r="V129" s="127" t="s">
        <v>877</v>
      </c>
    </row>
    <row r="130" spans="1:176" s="1" customFormat="1" ht="63" x14ac:dyDescent="0.2">
      <c r="A130" s="96" t="s">
        <v>327</v>
      </c>
      <c r="B130" s="19" t="s">
        <v>636</v>
      </c>
      <c r="C130" s="14" t="s">
        <v>115</v>
      </c>
      <c r="D130" s="14"/>
      <c r="E130" s="14"/>
      <c r="F130" s="20"/>
      <c r="G130" s="56" t="s">
        <v>655</v>
      </c>
      <c r="H130" s="34">
        <v>58</v>
      </c>
      <c r="I130" s="35" t="s">
        <v>430</v>
      </c>
      <c r="J130" s="80"/>
      <c r="K130" s="83"/>
      <c r="L130" s="81">
        <f t="shared" si="2"/>
        <v>0</v>
      </c>
      <c r="M130" s="123" t="s">
        <v>676</v>
      </c>
      <c r="N130" s="123"/>
      <c r="O130" s="123"/>
      <c r="P130" s="122" t="s">
        <v>878</v>
      </c>
      <c r="Q130" s="122" t="s">
        <v>878</v>
      </c>
      <c r="R130" s="122"/>
      <c r="S130" s="122" t="s">
        <v>694</v>
      </c>
      <c r="T130" s="124" t="s">
        <v>879</v>
      </c>
      <c r="U130" s="118"/>
      <c r="V130" s="117"/>
    </row>
    <row r="131" spans="1:176" s="1" customFormat="1" ht="78.75" x14ac:dyDescent="0.2">
      <c r="A131" s="96" t="s">
        <v>190</v>
      </c>
      <c r="B131" s="19" t="s">
        <v>512</v>
      </c>
      <c r="C131" s="14" t="s">
        <v>115</v>
      </c>
      <c r="D131" s="14"/>
      <c r="E131" s="14"/>
      <c r="F131" s="20"/>
      <c r="G131" s="56" t="s">
        <v>317</v>
      </c>
      <c r="H131" s="34">
        <v>52</v>
      </c>
      <c r="I131" s="35" t="s">
        <v>431</v>
      </c>
      <c r="J131" s="80"/>
      <c r="K131" s="83"/>
      <c r="L131" s="81">
        <f t="shared" si="2"/>
        <v>0</v>
      </c>
      <c r="M131" s="123"/>
      <c r="N131" s="123"/>
      <c r="O131" s="123"/>
      <c r="P131" s="124" t="s">
        <v>880</v>
      </c>
      <c r="Q131" s="124" t="s">
        <v>881</v>
      </c>
      <c r="R131" s="124" t="s">
        <v>882</v>
      </c>
      <c r="S131" s="124" t="s">
        <v>883</v>
      </c>
      <c r="T131" s="124" t="s">
        <v>884</v>
      </c>
      <c r="U131" s="126" t="s">
        <v>885</v>
      </c>
      <c r="V131" s="127" t="s">
        <v>886</v>
      </c>
    </row>
    <row r="132" spans="1:176" s="1" customFormat="1" ht="42.75" x14ac:dyDescent="0.2">
      <c r="A132" s="97" t="s">
        <v>191</v>
      </c>
      <c r="B132" s="19" t="s">
        <v>109</v>
      </c>
      <c r="C132" s="14" t="s">
        <v>115</v>
      </c>
      <c r="D132" s="14"/>
      <c r="E132" s="14"/>
      <c r="F132" s="20"/>
      <c r="G132" s="54" t="str">
        <f>IF(C132="","",IF(C132="Yes","Summarize your defined problem/issue escalation plan contained in your BCP.","Describe any plans to define a problem/issue escalation plan in your BCP."))</f>
        <v>Summarize your defined problem/issue escalation plan contained in your BCP.</v>
      </c>
      <c r="H132" s="34"/>
      <c r="I132" s="35"/>
      <c r="J132" s="80"/>
      <c r="K132" s="83"/>
      <c r="L132" s="81">
        <f t="shared" si="2"/>
        <v>0</v>
      </c>
      <c r="M132" s="123" t="s">
        <v>840</v>
      </c>
      <c r="N132" s="123"/>
      <c r="O132" s="123"/>
      <c r="P132" s="122" t="s">
        <v>887</v>
      </c>
      <c r="Q132" s="122" t="s">
        <v>887</v>
      </c>
      <c r="R132" s="124" t="s">
        <v>888</v>
      </c>
      <c r="S132" s="124" t="s">
        <v>889</v>
      </c>
      <c r="T132" s="124" t="s">
        <v>890</v>
      </c>
      <c r="U132" s="118"/>
      <c r="V132" s="117" t="s">
        <v>891</v>
      </c>
    </row>
    <row r="133" spans="1:176" s="1" customFormat="1" ht="31.5" x14ac:dyDescent="0.2">
      <c r="A133" s="97" t="s">
        <v>192</v>
      </c>
      <c r="B133" s="19" t="s">
        <v>513</v>
      </c>
      <c r="C133" s="14" t="s">
        <v>115</v>
      </c>
      <c r="D133" s="14"/>
      <c r="E133" s="14"/>
      <c r="F133" s="25"/>
      <c r="G133" s="99" t="str">
        <f>IF(C133="","",IF(C133="Yes","Describe how your DRP is validated and exercised.","Describe any plans to develop a Disaster Recovery Plan (DRP)."))</f>
        <v>Describe how your DRP is validated and exercised.</v>
      </c>
      <c r="H133" s="34"/>
      <c r="I133" s="35"/>
      <c r="J133" s="80"/>
      <c r="K133" s="83"/>
      <c r="L133" s="81">
        <f t="shared" si="2"/>
        <v>0</v>
      </c>
      <c r="M133" s="123"/>
      <c r="N133" s="123"/>
      <c r="O133" s="123"/>
      <c r="P133" s="122" t="s">
        <v>842</v>
      </c>
      <c r="Q133" s="122" t="s">
        <v>842</v>
      </c>
      <c r="R133" s="122"/>
      <c r="S133" s="122" t="s">
        <v>843</v>
      </c>
      <c r="T133" s="124" t="s">
        <v>892</v>
      </c>
      <c r="U133" s="118" t="s">
        <v>845</v>
      </c>
      <c r="V133" s="117" t="s">
        <v>846</v>
      </c>
    </row>
    <row r="134" spans="1:176" s="1" customFormat="1" ht="85.5" x14ac:dyDescent="0.2">
      <c r="A134" s="97" t="s">
        <v>193</v>
      </c>
      <c r="B134" s="19" t="s">
        <v>514</v>
      </c>
      <c r="C134" s="14" t="s">
        <v>115</v>
      </c>
      <c r="D134" s="14"/>
      <c r="E134" s="14"/>
      <c r="F134" s="20"/>
      <c r="G134" s="55" t="str">
        <f>IF(C134="","",IF(C134="Yes","Provide links to these documents in Additional Information or attach them with your submission. Include the responsible party for your information security program and the size of your security staff.","Provide a brief summary for this response."))</f>
        <v>Provide links to these documents in Additional Information or attach them with your submission. Include the responsible party for your information security program and the size of your security staff.</v>
      </c>
      <c r="H134" s="34"/>
      <c r="I134" s="35"/>
      <c r="J134" s="80"/>
      <c r="K134" s="83"/>
      <c r="L134" s="81">
        <f>J134*K134</f>
        <v>0</v>
      </c>
      <c r="M134" s="123"/>
      <c r="N134" s="123"/>
      <c r="O134" s="123"/>
      <c r="P134" s="122" t="s">
        <v>893</v>
      </c>
      <c r="Q134" s="122" t="s">
        <v>893</v>
      </c>
      <c r="R134" s="122"/>
      <c r="S134" s="122" t="s">
        <v>894</v>
      </c>
      <c r="T134" s="122"/>
      <c r="U134" s="118" t="s">
        <v>895</v>
      </c>
      <c r="V134" s="117" t="s">
        <v>757</v>
      </c>
    </row>
    <row r="135" spans="1:176" s="1" customFormat="1" ht="45.75" customHeight="1" x14ac:dyDescent="0.2">
      <c r="A135" s="97" t="s">
        <v>194</v>
      </c>
      <c r="B135" s="19" t="s">
        <v>149</v>
      </c>
      <c r="C135" s="14" t="s">
        <v>115</v>
      </c>
      <c r="D135" s="14"/>
      <c r="E135" s="14"/>
      <c r="F135" s="20"/>
      <c r="G135" s="54" t="str">
        <f>IF(C135="","",IF(C135="Yes","Describe how data will be returned to the utility and in what format will it be presented, as well as how data will be securely deleted from your systems.","Summarize why the Utility's data won't be returned, and plans to implement secure deletion of Utility data."))</f>
        <v>Describe how data will be returned to the utility and in what format will it be presented, as well as how data will be securely deleted from your systems.</v>
      </c>
      <c r="H135" s="34"/>
      <c r="I135" s="35"/>
      <c r="J135" s="80"/>
      <c r="K135" s="83"/>
      <c r="L135" s="81">
        <f t="shared" si="2"/>
        <v>0</v>
      </c>
      <c r="M135" s="123"/>
      <c r="N135" s="123"/>
      <c r="O135" s="123"/>
      <c r="P135" s="122"/>
      <c r="Q135" s="122"/>
      <c r="R135" s="122"/>
      <c r="S135" s="122"/>
      <c r="T135" s="122"/>
      <c r="U135" s="118"/>
      <c r="V135" s="117"/>
    </row>
    <row r="136" spans="1:176" s="1" customFormat="1" ht="57" x14ac:dyDescent="0.2">
      <c r="A136" s="97" t="s">
        <v>195</v>
      </c>
      <c r="B136" s="19" t="s">
        <v>150</v>
      </c>
      <c r="C136" s="14" t="s">
        <v>115</v>
      </c>
      <c r="D136" s="14"/>
      <c r="E136" s="14"/>
      <c r="F136" s="20"/>
      <c r="G136" s="53" t="str">
        <f>IF(C136="","",IF(C136="Yes","Provide a reference to the requested documents, or provide them when submitting this fully-populated questionnaire.","State any plans to develop or provide data retention policies for Utility data."))</f>
        <v>Provide a reference to the requested documents, or provide them when submitting this fully-populated questionnaire.</v>
      </c>
      <c r="H136" s="34"/>
      <c r="I136" s="35"/>
      <c r="J136" s="80"/>
      <c r="K136" s="83"/>
      <c r="L136" s="81">
        <f t="shared" si="2"/>
        <v>0</v>
      </c>
      <c r="M136" s="123"/>
      <c r="N136" s="123"/>
      <c r="O136" s="123"/>
      <c r="P136" s="122" t="s">
        <v>896</v>
      </c>
      <c r="Q136" s="122" t="s">
        <v>896</v>
      </c>
      <c r="R136" s="122"/>
      <c r="S136" s="122"/>
      <c r="T136" s="122" t="s">
        <v>897</v>
      </c>
      <c r="U136" s="118" t="s">
        <v>898</v>
      </c>
      <c r="V136" s="117" t="s">
        <v>899</v>
      </c>
    </row>
    <row r="137" spans="1:176" s="1" customFormat="1" ht="28.5" x14ac:dyDescent="0.2">
      <c r="A137" s="97" t="s">
        <v>254</v>
      </c>
      <c r="B137" s="19" t="s">
        <v>515</v>
      </c>
      <c r="C137" s="14" t="s">
        <v>115</v>
      </c>
      <c r="D137" s="14"/>
      <c r="E137" s="14"/>
      <c r="F137" s="20"/>
      <c r="G137" s="54" t="str">
        <f>IF(C137="","",IF(C137="Yes","Provide reference to or attach your data ownership documention.","Describe in detail why ownership rights are not retained by the utility."))</f>
        <v>Provide reference to or attach your data ownership documention.</v>
      </c>
      <c r="H137" s="34"/>
      <c r="I137" s="35"/>
      <c r="J137" s="80"/>
      <c r="K137" s="83"/>
      <c r="L137" s="81">
        <f t="shared" si="2"/>
        <v>0</v>
      </c>
      <c r="M137" s="123"/>
      <c r="N137" s="123"/>
      <c r="O137" s="123"/>
      <c r="P137" s="122"/>
      <c r="Q137" s="122"/>
      <c r="R137" s="122"/>
      <c r="S137" s="122"/>
      <c r="T137" s="122"/>
      <c r="U137" s="118"/>
      <c r="V137" s="117"/>
    </row>
    <row r="138" spans="1:176" s="1" customFormat="1" ht="31.5" x14ac:dyDescent="0.2">
      <c r="A138" s="97" t="s">
        <v>273</v>
      </c>
      <c r="B138" s="19" t="s">
        <v>64</v>
      </c>
      <c r="C138" s="14" t="s">
        <v>115</v>
      </c>
      <c r="D138" s="14"/>
      <c r="E138" s="14"/>
      <c r="F138" s="20"/>
      <c r="G138" s="56" t="str">
        <f>IF(C138="","",IF(C138="Yes","Provide a general summary of your long-term data retention strategy.","State plans to implement a long-term data retention strategy."))</f>
        <v>Provide a general summary of your long-term data retention strategy.</v>
      </c>
      <c r="H138" s="34"/>
      <c r="I138" s="35"/>
      <c r="J138" s="80"/>
      <c r="K138" s="83"/>
      <c r="L138" s="81">
        <f t="shared" si="2"/>
        <v>0</v>
      </c>
      <c r="M138" s="123"/>
      <c r="N138" s="123"/>
      <c r="O138" s="123"/>
      <c r="P138" s="122" t="s">
        <v>896</v>
      </c>
      <c r="Q138" s="122" t="s">
        <v>896</v>
      </c>
      <c r="R138" s="122"/>
      <c r="S138" s="122" t="s">
        <v>864</v>
      </c>
      <c r="T138" s="124" t="s">
        <v>900</v>
      </c>
      <c r="U138" s="118" t="s">
        <v>898</v>
      </c>
      <c r="V138" s="117" t="s">
        <v>899</v>
      </c>
    </row>
    <row r="139" spans="1:176" s="1" customFormat="1" ht="42.75" x14ac:dyDescent="0.2">
      <c r="A139" s="97" t="s">
        <v>313</v>
      </c>
      <c r="B139" s="19" t="s">
        <v>637</v>
      </c>
      <c r="C139" s="14" t="s">
        <v>115</v>
      </c>
      <c r="D139" s="14"/>
      <c r="E139" s="14"/>
      <c r="F139" s="20"/>
      <c r="G139" s="56" t="str">
        <f>IF(C139="","",IF(C139="Yes","Describe how compliance is integrated into your process and procedures.","State plans to handle data in a compliant manner."))</f>
        <v>Describe how compliance is integrated into your process and procedures.</v>
      </c>
      <c r="H139" s="34"/>
      <c r="I139" s="35"/>
      <c r="J139" s="80"/>
      <c r="K139" s="83"/>
      <c r="L139" s="81">
        <f t="shared" si="2"/>
        <v>0</v>
      </c>
      <c r="M139" s="123"/>
      <c r="N139" s="123"/>
      <c r="O139" s="123"/>
      <c r="P139" s="122"/>
      <c r="Q139" s="122"/>
      <c r="R139" s="122"/>
      <c r="S139" s="122"/>
      <c r="T139" s="122"/>
      <c r="U139" s="118"/>
      <c r="V139" s="117"/>
    </row>
    <row r="140" spans="1:176" s="61" customFormat="1" ht="42.75" x14ac:dyDescent="0.2">
      <c r="A140" s="96" t="s">
        <v>587</v>
      </c>
      <c r="B140" s="19" t="s">
        <v>590</v>
      </c>
      <c r="C140" s="14" t="s">
        <v>115</v>
      </c>
      <c r="D140" s="14"/>
      <c r="E140" s="14"/>
      <c r="F140" s="20"/>
      <c r="G140" s="64"/>
      <c r="H140" s="34">
        <v>20.100000000000001</v>
      </c>
      <c r="I140" s="40"/>
      <c r="J140" s="80"/>
      <c r="K140" s="83"/>
      <c r="L140" s="81">
        <f t="shared" si="2"/>
        <v>0</v>
      </c>
      <c r="M140" s="123"/>
      <c r="N140" s="123"/>
      <c r="O140" s="123" t="s">
        <v>841</v>
      </c>
      <c r="P140" s="124" t="s">
        <v>901</v>
      </c>
      <c r="Q140" s="124" t="s">
        <v>901</v>
      </c>
      <c r="R140" s="122" t="s">
        <v>902</v>
      </c>
      <c r="S140" s="124" t="s">
        <v>903</v>
      </c>
      <c r="T140" s="122" t="s">
        <v>904</v>
      </c>
      <c r="U140" s="118" t="s">
        <v>905</v>
      </c>
      <c r="V140" s="117" t="s">
        <v>771</v>
      </c>
    </row>
    <row r="141" spans="1:176" s="1" customFormat="1" ht="108" x14ac:dyDescent="0.2">
      <c r="A141" s="138" t="s">
        <v>143</v>
      </c>
      <c r="B141" s="138"/>
      <c r="C141" s="2" t="s">
        <v>564</v>
      </c>
      <c r="D141" s="2" t="s">
        <v>565</v>
      </c>
      <c r="E141" s="2" t="s">
        <v>101</v>
      </c>
      <c r="F141" s="2" t="s">
        <v>17</v>
      </c>
      <c r="G141" s="2" t="s">
        <v>18</v>
      </c>
      <c r="H141" s="2" t="s">
        <v>348</v>
      </c>
      <c r="I141" s="2" t="s">
        <v>375</v>
      </c>
      <c r="J141" s="186" t="s">
        <v>615</v>
      </c>
      <c r="K141" s="187"/>
      <c r="L141" s="79">
        <f>SUM(L142:L155)</f>
        <v>0</v>
      </c>
      <c r="M141" s="104" t="s">
        <v>657</v>
      </c>
      <c r="N141" s="104" t="s">
        <v>658</v>
      </c>
      <c r="O141" s="104" t="s">
        <v>659</v>
      </c>
      <c r="P141" s="105" t="s">
        <v>660</v>
      </c>
      <c r="Q141" s="105" t="s">
        <v>661</v>
      </c>
      <c r="R141" s="105" t="s">
        <v>662</v>
      </c>
      <c r="S141" s="106" t="s">
        <v>663</v>
      </c>
      <c r="T141" s="107" t="s">
        <v>666</v>
      </c>
      <c r="U141" s="105" t="s">
        <v>669</v>
      </c>
      <c r="V141" s="105" t="s">
        <v>673</v>
      </c>
    </row>
    <row r="142" spans="1:176" s="1" customFormat="1" ht="42.75" x14ac:dyDescent="0.2">
      <c r="A142" s="96" t="s">
        <v>35</v>
      </c>
      <c r="B142" s="19" t="s">
        <v>325</v>
      </c>
      <c r="C142" s="14" t="s">
        <v>115</v>
      </c>
      <c r="D142" s="14"/>
      <c r="E142" s="14"/>
      <c r="F142" s="20"/>
      <c r="G142" s="54" t="str">
        <f>IF(C142="","",IF(C142="Yes","Summarize your current change management process.","Describe current plans to implement a change management process."))</f>
        <v>Summarize your current change management process.</v>
      </c>
      <c r="H142" s="34"/>
      <c r="I142" s="35"/>
      <c r="J142" s="80"/>
      <c r="K142" s="83"/>
      <c r="L142" s="81">
        <f t="shared" ref="L142:L205" si="3">J142*K142</f>
        <v>0</v>
      </c>
      <c r="M142" s="123"/>
      <c r="N142" s="123"/>
      <c r="O142" s="125" t="s">
        <v>906</v>
      </c>
      <c r="P142" s="124" t="s">
        <v>909</v>
      </c>
      <c r="Q142" s="124" t="s">
        <v>909</v>
      </c>
      <c r="R142" s="122" t="s">
        <v>910</v>
      </c>
      <c r="S142" s="122" t="s">
        <v>911</v>
      </c>
      <c r="T142" s="124" t="s">
        <v>912</v>
      </c>
      <c r="U142" s="118" t="s">
        <v>913</v>
      </c>
      <c r="V142" s="117" t="s">
        <v>747</v>
      </c>
    </row>
    <row r="143" spans="1:176" ht="78.75" x14ac:dyDescent="0.2">
      <c r="A143" s="96" t="s">
        <v>36</v>
      </c>
      <c r="B143" s="19" t="s">
        <v>249</v>
      </c>
      <c r="C143" s="14" t="s">
        <v>115</v>
      </c>
      <c r="D143" s="14"/>
      <c r="E143" s="14"/>
      <c r="F143" s="23"/>
      <c r="G143" s="54" t="str">
        <f>IF(C143="","",IF(C143="Yes","Describe how this is accomplished within your environment.","Describe your plans to ensure that only application software verifiable as authorized, tested, and approved for production, is placed into production."))</f>
        <v>Describe how this is accomplished within your environment.</v>
      </c>
      <c r="H143" s="34"/>
      <c r="I143" s="35" t="s">
        <v>432</v>
      </c>
      <c r="J143" s="80"/>
      <c r="K143" s="83"/>
      <c r="L143" s="81">
        <f t="shared" si="3"/>
        <v>0</v>
      </c>
      <c r="M143" s="123" t="s">
        <v>676</v>
      </c>
      <c r="N143" s="123"/>
      <c r="O143" s="123"/>
      <c r="P143" s="122" t="s">
        <v>914</v>
      </c>
      <c r="Q143" s="122" t="s">
        <v>914</v>
      </c>
      <c r="R143" s="122" t="s">
        <v>910</v>
      </c>
      <c r="S143" s="122" t="s">
        <v>911</v>
      </c>
      <c r="T143" s="124" t="s">
        <v>915</v>
      </c>
      <c r="U143" s="118" t="s">
        <v>916</v>
      </c>
      <c r="V143" s="117" t="s">
        <v>747</v>
      </c>
      <c r="FT143"/>
    </row>
    <row r="144" spans="1:176" ht="63" x14ac:dyDescent="0.2">
      <c r="A144" s="96" t="s">
        <v>37</v>
      </c>
      <c r="B144" s="19" t="s">
        <v>326</v>
      </c>
      <c r="C144" s="14" t="s">
        <v>115</v>
      </c>
      <c r="D144" s="14"/>
      <c r="E144" s="14"/>
      <c r="F144" s="23"/>
      <c r="G144" s="54" t="s">
        <v>308</v>
      </c>
      <c r="H144" s="34">
        <v>50</v>
      </c>
      <c r="I144" s="35" t="s">
        <v>433</v>
      </c>
      <c r="J144" s="80"/>
      <c r="K144" s="83"/>
      <c r="L144" s="81">
        <f t="shared" si="3"/>
        <v>0</v>
      </c>
      <c r="M144" s="123"/>
      <c r="N144" s="123"/>
      <c r="O144" s="125" t="s">
        <v>907</v>
      </c>
      <c r="P144" s="122" t="s">
        <v>917</v>
      </c>
      <c r="Q144" s="122" t="s">
        <v>917</v>
      </c>
      <c r="R144" s="122" t="s">
        <v>918</v>
      </c>
      <c r="S144" s="124" t="s">
        <v>919</v>
      </c>
      <c r="T144" s="124" t="s">
        <v>920</v>
      </c>
      <c r="U144" s="118" t="s">
        <v>701</v>
      </c>
      <c r="V144" s="127" t="s">
        <v>921</v>
      </c>
      <c r="FT144"/>
    </row>
    <row r="145" spans="1:176" ht="42.75" x14ac:dyDescent="0.2">
      <c r="A145" s="96" t="s">
        <v>38</v>
      </c>
      <c r="B145" s="19" t="s">
        <v>315</v>
      </c>
      <c r="C145" s="14" t="s">
        <v>115</v>
      </c>
      <c r="D145" s="14"/>
      <c r="E145" s="14"/>
      <c r="F145" s="20"/>
      <c r="G145" s="56"/>
      <c r="H145" s="34">
        <v>56</v>
      </c>
      <c r="I145" s="35" t="s">
        <v>434</v>
      </c>
      <c r="J145" s="80"/>
      <c r="K145" s="83"/>
      <c r="L145" s="81">
        <f t="shared" si="3"/>
        <v>0</v>
      </c>
      <c r="M145" s="123"/>
      <c r="N145" s="123" t="s">
        <v>764</v>
      </c>
      <c r="O145" s="123"/>
      <c r="P145" s="122" t="s">
        <v>922</v>
      </c>
      <c r="Q145" s="124" t="s">
        <v>922</v>
      </c>
      <c r="R145" s="122" t="s">
        <v>923</v>
      </c>
      <c r="S145" s="122" t="s">
        <v>924</v>
      </c>
      <c r="T145" s="122" t="s">
        <v>925</v>
      </c>
      <c r="U145" s="118"/>
      <c r="V145" s="117"/>
      <c r="FT145"/>
    </row>
    <row r="146" spans="1:176" s="1" customFormat="1" ht="94.5" x14ac:dyDescent="0.2">
      <c r="A146" s="96" t="s">
        <v>40</v>
      </c>
      <c r="B146" s="19" t="s">
        <v>516</v>
      </c>
      <c r="C146" s="14" t="s">
        <v>115</v>
      </c>
      <c r="D146" s="14"/>
      <c r="E146" s="14"/>
      <c r="F146" s="20"/>
      <c r="G146" s="54" t="str">
        <f>IF(C146="","",IF(C146="Yes","Summarize your implemented system configuration management process.","Describe how system configuration management is currently handled in your environment."))</f>
        <v>Summarize your implemented system configuration management process.</v>
      </c>
      <c r="H146" s="34"/>
      <c r="I146" s="35"/>
      <c r="J146" s="80"/>
      <c r="K146" s="83"/>
      <c r="L146" s="81">
        <f t="shared" si="3"/>
        <v>0</v>
      </c>
      <c r="M146" s="123"/>
      <c r="N146" s="123"/>
      <c r="O146" s="123" t="s">
        <v>908</v>
      </c>
      <c r="P146" s="124" t="s">
        <v>926</v>
      </c>
      <c r="Q146" s="124" t="s">
        <v>926</v>
      </c>
      <c r="R146" s="122" t="s">
        <v>902</v>
      </c>
      <c r="S146" s="122" t="s">
        <v>924</v>
      </c>
      <c r="T146" s="124" t="s">
        <v>927</v>
      </c>
      <c r="U146" s="118" t="s">
        <v>928</v>
      </c>
      <c r="V146" s="117" t="s">
        <v>747</v>
      </c>
    </row>
    <row r="147" spans="1:176" s="1" customFormat="1" ht="47.25" x14ac:dyDescent="0.2">
      <c r="A147" s="96" t="s">
        <v>41</v>
      </c>
      <c r="B147" s="19" t="s">
        <v>82</v>
      </c>
      <c r="C147" s="14" t="s">
        <v>115</v>
      </c>
      <c r="D147" s="14"/>
      <c r="E147" s="14"/>
      <c r="F147" s="25"/>
      <c r="G147" s="55" t="str">
        <f>IF(C147="","",IF(C147="Yes","Summarize your systems management and configuration strategy.","Describe your intent to implement a systems management and configuration strategy."))</f>
        <v>Summarize your systems management and configuration strategy.</v>
      </c>
      <c r="H147" s="34"/>
      <c r="I147" s="35"/>
      <c r="J147" s="80"/>
      <c r="K147" s="83"/>
      <c r="L147" s="81">
        <f t="shared" si="3"/>
        <v>0</v>
      </c>
      <c r="M147" s="123"/>
      <c r="N147" s="123"/>
      <c r="O147" s="123"/>
      <c r="P147" s="122" t="s">
        <v>929</v>
      </c>
      <c r="Q147" s="122" t="s">
        <v>929</v>
      </c>
      <c r="R147" s="124" t="s">
        <v>930</v>
      </c>
      <c r="S147" s="122" t="s">
        <v>924</v>
      </c>
      <c r="T147" s="124" t="s">
        <v>931</v>
      </c>
      <c r="U147" s="118" t="s">
        <v>928</v>
      </c>
      <c r="V147" s="117" t="s">
        <v>747</v>
      </c>
    </row>
    <row r="148" spans="1:176" s="1" customFormat="1" ht="42.75" x14ac:dyDescent="0.2">
      <c r="A148" s="96" t="s">
        <v>42</v>
      </c>
      <c r="B148" s="19" t="s">
        <v>119</v>
      </c>
      <c r="C148" s="25" t="s">
        <v>115</v>
      </c>
      <c r="D148" s="25"/>
      <c r="E148" s="25"/>
      <c r="F148" s="25"/>
      <c r="G148" s="54" t="s">
        <v>570</v>
      </c>
      <c r="H148" s="34"/>
      <c r="I148" s="35"/>
      <c r="J148" s="80"/>
      <c r="K148" s="83"/>
      <c r="L148" s="81">
        <f t="shared" si="3"/>
        <v>0</v>
      </c>
      <c r="M148" s="123"/>
      <c r="N148" s="123"/>
      <c r="O148" s="123"/>
      <c r="P148" s="124" t="s">
        <v>932</v>
      </c>
      <c r="Q148" s="124" t="s">
        <v>932</v>
      </c>
      <c r="R148" s="122"/>
      <c r="S148" s="122" t="s">
        <v>924</v>
      </c>
      <c r="T148" s="124" t="s">
        <v>912</v>
      </c>
      <c r="U148" s="118" t="s">
        <v>913</v>
      </c>
      <c r="V148" s="117" t="s">
        <v>747</v>
      </c>
    </row>
    <row r="149" spans="1:176" ht="42.75" x14ac:dyDescent="0.2">
      <c r="A149" s="96" t="s">
        <v>43</v>
      </c>
      <c r="B149" s="19" t="s">
        <v>517</v>
      </c>
      <c r="C149" s="14" t="s">
        <v>115</v>
      </c>
      <c r="D149" s="14"/>
      <c r="E149" s="14"/>
      <c r="F149" s="23"/>
      <c r="G149" s="56" t="str">
        <f>IF(C149="","",IF(C149="Yes","State how and when the utility will be notified of major changes to your environment.","Describe plans to establish a formal notification mechanism for major environmental changes."))</f>
        <v>State how and when the utility will be notified of major changes to your environment.</v>
      </c>
      <c r="H149" s="34"/>
      <c r="I149" s="35"/>
      <c r="J149" s="80"/>
      <c r="K149" s="83"/>
      <c r="L149" s="81">
        <f t="shared" si="3"/>
        <v>0</v>
      </c>
      <c r="M149" s="123"/>
      <c r="N149" s="123"/>
      <c r="O149" s="123"/>
      <c r="P149" s="122" t="s">
        <v>933</v>
      </c>
      <c r="Q149" s="122" t="s">
        <v>933</v>
      </c>
      <c r="R149" s="122" t="s">
        <v>934</v>
      </c>
      <c r="S149" s="122" t="s">
        <v>911</v>
      </c>
      <c r="T149" s="124" t="s">
        <v>935</v>
      </c>
      <c r="U149" s="118"/>
      <c r="V149" s="117" t="s">
        <v>747</v>
      </c>
      <c r="FT149"/>
    </row>
    <row r="150" spans="1:176" ht="42.75" x14ac:dyDescent="0.2">
      <c r="A150" s="96" t="s">
        <v>44</v>
      </c>
      <c r="B150" s="19" t="s">
        <v>39</v>
      </c>
      <c r="C150" s="14" t="s">
        <v>115</v>
      </c>
      <c r="D150" s="14"/>
      <c r="E150" s="14"/>
      <c r="F150" s="23"/>
      <c r="G150" s="56" t="str">
        <f>IF(C150="","",IF(C150="Yes","Summarize or provide a reference to the process/procedure to manage releases.","Summarize why clients do not have alternative release options."))</f>
        <v>Summarize or provide a reference to the process/procedure to manage releases.</v>
      </c>
      <c r="H150" s="34"/>
      <c r="I150" s="35"/>
      <c r="J150" s="80"/>
      <c r="K150" s="83"/>
      <c r="L150" s="81">
        <f t="shared" si="3"/>
        <v>0</v>
      </c>
      <c r="M150" s="123"/>
      <c r="N150" s="123"/>
      <c r="O150" s="123"/>
      <c r="P150" s="122"/>
      <c r="Q150" s="122"/>
      <c r="R150" s="122"/>
      <c r="S150" s="122"/>
      <c r="T150" s="122"/>
      <c r="U150" s="118"/>
      <c r="V150" s="117"/>
      <c r="FT150"/>
    </row>
    <row r="151" spans="1:176" ht="28.5" x14ac:dyDescent="0.2">
      <c r="A151" s="96" t="s">
        <v>196</v>
      </c>
      <c r="B151" s="19" t="s">
        <v>120</v>
      </c>
      <c r="C151" s="14" t="s">
        <v>115</v>
      </c>
      <c r="D151" s="14"/>
      <c r="E151" s="14"/>
      <c r="F151" s="23"/>
      <c r="G151" s="56" t="str">
        <f>IF(C151="","",IF(C151="Yes","Please describe your support strategy.",""))</f>
        <v>Please describe your support strategy.</v>
      </c>
      <c r="H151" s="34"/>
      <c r="I151" s="35"/>
      <c r="J151" s="80"/>
      <c r="K151" s="83"/>
      <c r="L151" s="81">
        <f t="shared" si="3"/>
        <v>0</v>
      </c>
      <c r="M151" s="123"/>
      <c r="N151" s="123"/>
      <c r="O151" s="123"/>
      <c r="P151" s="122"/>
      <c r="Q151" s="122"/>
      <c r="R151" s="122"/>
      <c r="S151" s="122"/>
      <c r="T151" s="122"/>
      <c r="U151" s="118"/>
      <c r="V151" s="117"/>
      <c r="FT151"/>
    </row>
    <row r="152" spans="1:176" ht="28.5" x14ac:dyDescent="0.2">
      <c r="A152" s="96" t="s">
        <v>45</v>
      </c>
      <c r="B152" s="19" t="s">
        <v>110</v>
      </c>
      <c r="C152" s="14" t="s">
        <v>115</v>
      </c>
      <c r="D152" s="14"/>
      <c r="E152" s="14"/>
      <c r="F152" s="23"/>
      <c r="G152" s="54" t="str">
        <f>IF(C152="","",IF(C152="Yes","Describe how this is accomplished within your system.","Describe any business or technical reasons why customizations are not supported."))</f>
        <v>Describe how this is accomplished within your system.</v>
      </c>
      <c r="H152" s="34"/>
      <c r="I152" s="35"/>
      <c r="J152" s="80"/>
      <c r="K152" s="83"/>
      <c r="L152" s="81">
        <f t="shared" si="3"/>
        <v>0</v>
      </c>
      <c r="M152" s="123"/>
      <c r="N152" s="123"/>
      <c r="O152" s="123"/>
      <c r="P152" s="122"/>
      <c r="Q152" s="122"/>
      <c r="R152" s="122"/>
      <c r="S152" s="122"/>
      <c r="T152" s="122"/>
      <c r="U152" s="118"/>
      <c r="V152" s="117"/>
      <c r="FT152"/>
    </row>
    <row r="153" spans="1:176" ht="78.75" x14ac:dyDescent="0.2">
      <c r="A153" s="96" t="s">
        <v>46</v>
      </c>
      <c r="B153" s="19" t="s">
        <v>518</v>
      </c>
      <c r="C153" s="14" t="s">
        <v>115</v>
      </c>
      <c r="D153" s="14"/>
      <c r="E153" s="14"/>
      <c r="F153" s="23"/>
      <c r="G153" s="54" t="str">
        <f>IF(C153="","",IF(C153="Yes","Please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Please summarize the policy and procedure(s) managing how critical patches are applied to systems and applications and provide a copy.</v>
      </c>
      <c r="H153" s="34"/>
      <c r="I153" s="35"/>
      <c r="J153" s="80"/>
      <c r="K153" s="83"/>
      <c r="L153" s="81">
        <f t="shared" si="3"/>
        <v>0</v>
      </c>
      <c r="M153" s="123"/>
      <c r="N153" s="123"/>
      <c r="O153" s="123"/>
      <c r="P153" s="124" t="s">
        <v>936</v>
      </c>
      <c r="Q153" s="124" t="s">
        <v>936</v>
      </c>
      <c r="R153" s="122" t="s">
        <v>918</v>
      </c>
      <c r="S153" s="124" t="s">
        <v>919</v>
      </c>
      <c r="T153" s="124" t="s">
        <v>937</v>
      </c>
      <c r="U153" s="118" t="s">
        <v>701</v>
      </c>
      <c r="V153" s="127" t="s">
        <v>938</v>
      </c>
      <c r="FT153"/>
    </row>
    <row r="154" spans="1:176" ht="47.25" customHeight="1" x14ac:dyDescent="0.2">
      <c r="A154" s="96" t="s">
        <v>197</v>
      </c>
      <c r="B154" s="33" t="s">
        <v>519</v>
      </c>
      <c r="C154" s="14" t="s">
        <v>115</v>
      </c>
      <c r="D154" s="14"/>
      <c r="E154" s="14"/>
      <c r="F154" s="32"/>
      <c r="G154" s="54" t="str">
        <f>IF(C154="","",IF(C154="Yes","Summarize the policy and procedure(s) guiding risk mitigation practices before critical patches can be applied and provide a copy if available.","State your plans to implement policy and procedure(s) guiding risk mitigation practices before critical patches can be applied."))</f>
        <v>Summarize the policy and procedure(s) guiding risk mitigation practices before critical patches can be applied and provide a copy if available.</v>
      </c>
      <c r="H154" s="34"/>
      <c r="I154" s="35"/>
      <c r="J154" s="80"/>
      <c r="K154" s="83"/>
      <c r="L154" s="81">
        <f t="shared" si="3"/>
        <v>0</v>
      </c>
      <c r="M154" s="123"/>
      <c r="N154" s="123"/>
      <c r="O154" s="123"/>
      <c r="P154" s="122"/>
      <c r="Q154" s="122"/>
      <c r="R154" s="122"/>
      <c r="S154" s="122" t="s">
        <v>939</v>
      </c>
      <c r="T154" s="122" t="s">
        <v>940</v>
      </c>
      <c r="U154" s="118" t="s">
        <v>701</v>
      </c>
      <c r="V154" s="117" t="s">
        <v>675</v>
      </c>
      <c r="FT154"/>
    </row>
    <row r="155" spans="1:176" ht="42.75" x14ac:dyDescent="0.2">
      <c r="A155" s="96" t="s">
        <v>314</v>
      </c>
      <c r="B155" s="19" t="s">
        <v>71</v>
      </c>
      <c r="C155" s="14" t="s">
        <v>115</v>
      </c>
      <c r="D155" s="14"/>
      <c r="E155" s="14"/>
      <c r="F155" s="32"/>
      <c r="G155" s="54" t="str">
        <f>IF(C155="","",IF(C155="Yes","Please describe the policy, including required approvals, for firewall change requests.","State your plans to implement a firewall change request policy or procedure."))</f>
        <v>Please describe the policy, including required approvals, for firewall change requests.</v>
      </c>
      <c r="H155" s="34"/>
      <c r="I155" s="35"/>
      <c r="J155" s="80"/>
      <c r="K155" s="83"/>
      <c r="L155" s="81">
        <f t="shared" si="3"/>
        <v>0</v>
      </c>
      <c r="M155" s="123"/>
      <c r="N155" s="123"/>
      <c r="O155" s="123"/>
      <c r="P155" s="122"/>
      <c r="Q155" s="122"/>
      <c r="R155" s="122"/>
      <c r="S155" s="122"/>
      <c r="T155" s="122"/>
      <c r="U155" s="118"/>
      <c r="V155" s="117"/>
      <c r="FT155"/>
    </row>
    <row r="156" spans="1:176" ht="108" x14ac:dyDescent="0.2">
      <c r="A156" s="138" t="s">
        <v>148</v>
      </c>
      <c r="B156" s="138"/>
      <c r="C156" s="2" t="s">
        <v>564</v>
      </c>
      <c r="D156" s="2" t="s">
        <v>565</v>
      </c>
      <c r="E156" s="2" t="s">
        <v>101</v>
      </c>
      <c r="F156" s="2" t="s">
        <v>17</v>
      </c>
      <c r="G156" s="2" t="s">
        <v>18</v>
      </c>
      <c r="H156" s="2" t="s">
        <v>348</v>
      </c>
      <c r="I156" s="2" t="s">
        <v>375</v>
      </c>
      <c r="J156" s="186" t="s">
        <v>615</v>
      </c>
      <c r="K156" s="187"/>
      <c r="L156" s="79">
        <f>SUM(L157:L180)</f>
        <v>0</v>
      </c>
      <c r="M156" s="104" t="s">
        <v>657</v>
      </c>
      <c r="N156" s="104" t="s">
        <v>658</v>
      </c>
      <c r="O156" s="104" t="s">
        <v>659</v>
      </c>
      <c r="P156" s="105" t="s">
        <v>660</v>
      </c>
      <c r="Q156" s="105" t="s">
        <v>661</v>
      </c>
      <c r="R156" s="105" t="s">
        <v>662</v>
      </c>
      <c r="S156" s="106" t="s">
        <v>663</v>
      </c>
      <c r="T156" s="107" t="s">
        <v>666</v>
      </c>
      <c r="U156" s="105" t="s">
        <v>669</v>
      </c>
      <c r="V156" s="105" t="s">
        <v>673</v>
      </c>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row>
    <row r="157" spans="1:176" ht="47.25" x14ac:dyDescent="0.2">
      <c r="A157" s="96" t="s">
        <v>328</v>
      </c>
      <c r="B157" s="19" t="s">
        <v>600</v>
      </c>
      <c r="C157" s="14" t="s">
        <v>115</v>
      </c>
      <c r="D157" s="14"/>
      <c r="E157" s="14"/>
      <c r="F157" s="13"/>
      <c r="G157" s="54" t="str">
        <f>IF(C157="","",IF(C157="Yes","Provide a general summary of your archival environment.","State plans to store long-term media in environmentally protected areas."))</f>
        <v>Provide a general summary of your archival environment.</v>
      </c>
      <c r="H157" s="37"/>
      <c r="I157" s="37" t="s">
        <v>435</v>
      </c>
      <c r="J157" s="80"/>
      <c r="K157" s="83"/>
      <c r="L157" s="81">
        <f t="shared" si="3"/>
        <v>0</v>
      </c>
      <c r="M157" s="123"/>
      <c r="N157" s="123"/>
      <c r="O157" s="123"/>
      <c r="P157" s="122" t="s">
        <v>688</v>
      </c>
      <c r="Q157" s="122" t="s">
        <v>688</v>
      </c>
      <c r="R157" s="124" t="s">
        <v>942</v>
      </c>
      <c r="S157" s="122" t="s">
        <v>943</v>
      </c>
      <c r="T157" s="124" t="s">
        <v>944</v>
      </c>
      <c r="U157" s="118" t="s">
        <v>898</v>
      </c>
      <c r="V157" s="117" t="s">
        <v>693</v>
      </c>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row>
    <row r="158" spans="1:176" ht="28.5" x14ac:dyDescent="0.2">
      <c r="A158" s="96" t="s">
        <v>329</v>
      </c>
      <c r="B158" s="19" t="s">
        <v>520</v>
      </c>
      <c r="C158" s="14" t="s">
        <v>115</v>
      </c>
      <c r="D158" s="14"/>
      <c r="E158" s="14"/>
      <c r="F158" s="20"/>
      <c r="G158" s="54" t="str">
        <f>IF(C158="","",IF(C158="Yes","","Please state the owner of the physical data center where the utility's data will reside."))</f>
        <v/>
      </c>
      <c r="H158" s="37"/>
      <c r="I158" s="37" t="s">
        <v>436</v>
      </c>
      <c r="J158" s="80"/>
      <c r="K158" s="83"/>
      <c r="L158" s="81">
        <f t="shared" si="3"/>
        <v>0</v>
      </c>
      <c r="M158" s="123"/>
      <c r="N158" s="123"/>
      <c r="O158" s="123"/>
      <c r="P158" s="122"/>
      <c r="Q158" s="122"/>
      <c r="R158" s="122"/>
      <c r="S158" s="122"/>
      <c r="T158" s="122"/>
      <c r="U158" s="118"/>
      <c r="V158" s="117"/>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row>
    <row r="159" spans="1:176" ht="28.5" x14ac:dyDescent="0.2">
      <c r="A159" s="96" t="s">
        <v>330</v>
      </c>
      <c r="B159" s="19" t="s">
        <v>68</v>
      </c>
      <c r="C159" s="14" t="s">
        <v>115</v>
      </c>
      <c r="D159" s="14"/>
      <c r="E159" s="14"/>
      <c r="F159" s="20"/>
      <c r="G159" s="54" t="str">
        <f>IF(C159="","",IF(C159="Yes","","Please describe security controls that prevent unauthorized physical contacts with your devices."))</f>
        <v/>
      </c>
      <c r="H159" s="37"/>
      <c r="I159" s="37"/>
      <c r="J159" s="80"/>
      <c r="K159" s="83"/>
      <c r="L159" s="81">
        <f t="shared" si="3"/>
        <v>0</v>
      </c>
      <c r="M159" s="123"/>
      <c r="N159" s="123"/>
      <c r="O159" s="123"/>
      <c r="P159" s="122" t="s">
        <v>945</v>
      </c>
      <c r="Q159" s="122" t="s">
        <v>945</v>
      </c>
      <c r="R159" s="122" t="s">
        <v>946</v>
      </c>
      <c r="S159" s="122" t="s">
        <v>690</v>
      </c>
      <c r="T159" s="122" t="s">
        <v>691</v>
      </c>
      <c r="U159" s="118" t="s">
        <v>947</v>
      </c>
      <c r="V159" s="117" t="s">
        <v>693</v>
      </c>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row>
    <row r="160" spans="1:176" ht="28.5" x14ac:dyDescent="0.2">
      <c r="A160" s="96" t="s">
        <v>331</v>
      </c>
      <c r="B160" s="19" t="s">
        <v>521</v>
      </c>
      <c r="C160" s="14" t="s">
        <v>115</v>
      </c>
      <c r="D160" s="14"/>
      <c r="E160" s="14"/>
      <c r="F160" s="20"/>
      <c r="G160" s="54"/>
      <c r="H160" s="37"/>
      <c r="I160" s="37"/>
      <c r="J160" s="80"/>
      <c r="K160" s="83"/>
      <c r="L160" s="81">
        <f t="shared" si="3"/>
        <v>0</v>
      </c>
      <c r="M160" s="123"/>
      <c r="N160" s="123"/>
      <c r="O160" s="123"/>
      <c r="P160" s="122"/>
      <c r="Q160" s="122" t="s">
        <v>948</v>
      </c>
      <c r="R160" s="122"/>
      <c r="S160" s="122" t="s">
        <v>949</v>
      </c>
      <c r="T160" s="122" t="s">
        <v>950</v>
      </c>
      <c r="U160" s="118" t="s">
        <v>951</v>
      </c>
      <c r="V160" s="117" t="s">
        <v>952</v>
      </c>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row>
    <row r="161" spans="1:176" ht="71.25" x14ac:dyDescent="0.2">
      <c r="A161" s="96" t="s">
        <v>332</v>
      </c>
      <c r="B161" s="19" t="s">
        <v>522</v>
      </c>
      <c r="C161" s="14" t="s">
        <v>115</v>
      </c>
      <c r="D161" s="14"/>
      <c r="E161" s="14"/>
      <c r="F161" s="16"/>
      <c r="G161" s="54" t="str">
        <f>IF(C161="","",IF(C161="Yes","Please describe how this is accomplished, including the process by which it is ensure that access has been approved before it is provisioned.","Please describe plans to implement appropriate segregation of duties."))</f>
        <v>Please describe how this is accomplished, including the process by which it is ensure that access has been approved before it is provisioned.</v>
      </c>
      <c r="H161" s="37"/>
      <c r="I161" s="37" t="s">
        <v>437</v>
      </c>
      <c r="J161" s="80"/>
      <c r="K161" s="83"/>
      <c r="L161" s="81">
        <f t="shared" si="3"/>
        <v>0</v>
      </c>
      <c r="M161" s="123"/>
      <c r="N161" s="123"/>
      <c r="O161" s="123"/>
      <c r="P161" s="122" t="s">
        <v>953</v>
      </c>
      <c r="Q161" s="122" t="s">
        <v>953</v>
      </c>
      <c r="R161" s="122" t="s">
        <v>954</v>
      </c>
      <c r="S161" s="122" t="s">
        <v>830</v>
      </c>
      <c r="T161" s="124" t="s">
        <v>955</v>
      </c>
      <c r="U161" s="118" t="s">
        <v>956</v>
      </c>
      <c r="V161" s="117" t="s">
        <v>736</v>
      </c>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row>
    <row r="162" spans="1:176" ht="57" x14ac:dyDescent="0.2">
      <c r="A162" s="96" t="s">
        <v>333</v>
      </c>
      <c r="B162" s="19" t="s">
        <v>111</v>
      </c>
      <c r="C162" s="14" t="s">
        <v>117</v>
      </c>
      <c r="D162" s="14"/>
      <c r="E162" s="14"/>
      <c r="F162" s="25"/>
      <c r="G162" s="54" t="s">
        <v>60</v>
      </c>
      <c r="H162" s="37"/>
      <c r="I162" s="37"/>
      <c r="J162" s="80"/>
      <c r="K162" s="83"/>
      <c r="L162" s="81">
        <f t="shared" si="3"/>
        <v>0</v>
      </c>
      <c r="M162" s="123"/>
      <c r="N162" s="123"/>
      <c r="O162" s="123"/>
      <c r="P162" s="122"/>
      <c r="Q162" s="122" t="s">
        <v>957</v>
      </c>
      <c r="R162" s="122" t="s">
        <v>958</v>
      </c>
      <c r="S162" s="122" t="s">
        <v>959</v>
      </c>
      <c r="T162" s="124" t="s">
        <v>960</v>
      </c>
      <c r="U162" s="118" t="s">
        <v>961</v>
      </c>
      <c r="V162" s="117" t="s">
        <v>952</v>
      </c>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row>
    <row r="163" spans="1:176" ht="28.5" x14ac:dyDescent="0.2">
      <c r="A163" s="96" t="s">
        <v>334</v>
      </c>
      <c r="B163" s="19" t="s">
        <v>601</v>
      </c>
      <c r="C163" s="14" t="s">
        <v>117</v>
      </c>
      <c r="D163" s="14"/>
      <c r="E163" s="14"/>
      <c r="F163" s="13"/>
      <c r="G163" s="54" t="str">
        <f>IF(C163="","",IF(C163="Yes","","State plans to adhere to DoD 5220.22-M and/or NIST SP 800-88 standards."))</f>
        <v>State plans to adhere to DoD 5220.22-M and/or NIST SP 800-88 standards.</v>
      </c>
      <c r="H163" s="37"/>
      <c r="I163" s="37"/>
      <c r="J163" s="80"/>
      <c r="K163" s="83"/>
      <c r="L163" s="81">
        <f t="shared" si="3"/>
        <v>0</v>
      </c>
      <c r="M163" s="123"/>
      <c r="N163" s="123"/>
      <c r="O163" s="123"/>
      <c r="P163" s="122"/>
      <c r="Q163" s="122"/>
      <c r="R163" s="122"/>
      <c r="S163" s="122"/>
      <c r="T163" s="122"/>
      <c r="U163" s="118"/>
      <c r="V163" s="117"/>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row>
    <row r="164" spans="1:176" ht="42.75" x14ac:dyDescent="0.2">
      <c r="A164" s="96" t="s">
        <v>335</v>
      </c>
      <c r="B164" s="19" t="s">
        <v>69</v>
      </c>
      <c r="C164" s="14" t="s">
        <v>115</v>
      </c>
      <c r="D164" s="14"/>
      <c r="E164" s="14"/>
      <c r="F164" s="13"/>
      <c r="G164" s="54" t="str">
        <f>IF(C164="","",IF(C164="Yes","Describe how and where WAFs are currently implemented in your environment.","Describe any plans to implement a WAF in your environment."))</f>
        <v>Describe how and where WAFs are currently implemented in your environment.</v>
      </c>
      <c r="H164" s="37"/>
      <c r="I164" s="37"/>
      <c r="J164" s="80"/>
      <c r="K164" s="83"/>
      <c r="L164" s="81">
        <f t="shared" si="3"/>
        <v>0</v>
      </c>
      <c r="M164" s="123"/>
      <c r="N164" s="123" t="s">
        <v>941</v>
      </c>
      <c r="O164" s="123"/>
      <c r="P164" s="122" t="s">
        <v>962</v>
      </c>
      <c r="Q164" s="122" t="s">
        <v>962</v>
      </c>
      <c r="R164" s="122" t="s">
        <v>963</v>
      </c>
      <c r="S164" s="122" t="s">
        <v>792</v>
      </c>
      <c r="T164" s="124" t="s">
        <v>964</v>
      </c>
      <c r="U164" s="118"/>
      <c r="V164" s="117" t="s">
        <v>800</v>
      </c>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row>
    <row r="165" spans="1:176" ht="47.25" x14ac:dyDescent="0.2">
      <c r="A165" s="96" t="s">
        <v>336</v>
      </c>
      <c r="B165" s="19" t="s">
        <v>70</v>
      </c>
      <c r="C165" s="14" t="s">
        <v>115</v>
      </c>
      <c r="D165" s="14"/>
      <c r="E165" s="14"/>
      <c r="F165" s="13"/>
      <c r="G165" s="54" t="str">
        <f>IF(C165="","",IF(C165="Yes","Describe how and where SPI firewalls are currently implemented in your environment.","State any plans to implement SPI firewalls in your environment."))</f>
        <v>Describe how and where SPI firewalls are currently implemented in your environment.</v>
      </c>
      <c r="H165" s="37"/>
      <c r="I165" s="37"/>
      <c r="J165" s="80"/>
      <c r="K165" s="83"/>
      <c r="L165" s="81">
        <f t="shared" si="3"/>
        <v>0</v>
      </c>
      <c r="M165" s="123"/>
      <c r="N165" s="123" t="s">
        <v>941</v>
      </c>
      <c r="O165" s="123"/>
      <c r="P165" s="122" t="s">
        <v>962</v>
      </c>
      <c r="Q165" s="122" t="s">
        <v>962</v>
      </c>
      <c r="R165" s="122" t="s">
        <v>963</v>
      </c>
      <c r="S165" s="122" t="s">
        <v>792</v>
      </c>
      <c r="T165" s="124" t="s">
        <v>965</v>
      </c>
      <c r="U165" s="118" t="s">
        <v>966</v>
      </c>
      <c r="V165" s="117" t="s">
        <v>800</v>
      </c>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18" x14ac:dyDescent="0.2">
      <c r="A166" s="96" t="s">
        <v>198</v>
      </c>
      <c r="B166" s="19" t="s">
        <v>523</v>
      </c>
      <c r="C166" s="13"/>
      <c r="D166" s="13"/>
      <c r="E166" s="13"/>
      <c r="F166" s="13"/>
      <c r="G166" s="54"/>
      <c r="H166" s="37"/>
      <c r="I166" s="37"/>
      <c r="J166" s="80"/>
      <c r="K166" s="83"/>
      <c r="L166" s="81">
        <f t="shared" si="3"/>
        <v>0</v>
      </c>
      <c r="M166" s="123"/>
      <c r="N166" s="123"/>
      <c r="O166" s="123"/>
      <c r="P166" s="122"/>
      <c r="Q166" s="122"/>
      <c r="R166" s="122"/>
      <c r="S166" s="122"/>
      <c r="T166" s="122"/>
      <c r="U166" s="118"/>
      <c r="V166" s="117"/>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47.25" x14ac:dyDescent="0.2">
      <c r="A167" s="96" t="s">
        <v>199</v>
      </c>
      <c r="B167" s="19" t="s">
        <v>72</v>
      </c>
      <c r="C167" s="14" t="s">
        <v>115</v>
      </c>
      <c r="D167" s="14"/>
      <c r="E167" s="14"/>
      <c r="F167" s="13"/>
      <c r="G167" s="54" t="str">
        <f>IF(C167="","",IF(C167="Yes","","Please describe for which network(s) and/or tool(s) audit logs are not available."))</f>
        <v/>
      </c>
      <c r="H167" s="37"/>
      <c r="I167" s="37"/>
      <c r="J167" s="80"/>
      <c r="K167" s="83"/>
      <c r="L167" s="81">
        <f t="shared" si="3"/>
        <v>0</v>
      </c>
      <c r="M167" s="123"/>
      <c r="N167" s="123"/>
      <c r="O167" s="123"/>
      <c r="P167" s="122" t="s">
        <v>967</v>
      </c>
      <c r="Q167" s="122" t="s">
        <v>967</v>
      </c>
      <c r="R167" s="122" t="s">
        <v>968</v>
      </c>
      <c r="S167" s="122" t="s">
        <v>821</v>
      </c>
      <c r="T167" s="124" t="s">
        <v>969</v>
      </c>
      <c r="U167" s="118" t="s">
        <v>823</v>
      </c>
      <c r="V167" s="127" t="s">
        <v>970</v>
      </c>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57" x14ac:dyDescent="0.2">
      <c r="A168" s="96" t="s">
        <v>200</v>
      </c>
      <c r="B168" s="19" t="s">
        <v>574</v>
      </c>
      <c r="C168" s="14" t="s">
        <v>115</v>
      </c>
      <c r="D168" s="14"/>
      <c r="E168" s="14"/>
      <c r="F168" s="13"/>
      <c r="G168" s="54" t="str">
        <f>IF(C168="","",IF(C168="Yes","Please describe how the development environments/systems are isolated.","Describe any plans to segregate development environments/systems from other networks."))</f>
        <v>Please describe how the development environments/systems are isolated.</v>
      </c>
      <c r="H168" s="37"/>
      <c r="I168" s="37"/>
      <c r="J168" s="80"/>
      <c r="K168" s="83"/>
      <c r="L168" s="81">
        <f t="shared" si="3"/>
        <v>0</v>
      </c>
      <c r="M168" s="123"/>
      <c r="N168" s="123"/>
      <c r="O168" s="123" t="s">
        <v>941</v>
      </c>
      <c r="P168" s="124" t="s">
        <v>971</v>
      </c>
      <c r="Q168" s="124" t="s">
        <v>971</v>
      </c>
      <c r="R168" s="122"/>
      <c r="S168" s="122" t="s">
        <v>972</v>
      </c>
      <c r="T168" s="124" t="s">
        <v>973</v>
      </c>
      <c r="U168" s="118" t="s">
        <v>974</v>
      </c>
      <c r="V168" s="117" t="s">
        <v>747</v>
      </c>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57" x14ac:dyDescent="0.2">
      <c r="A169" s="96" t="s">
        <v>201</v>
      </c>
      <c r="B169" s="19" t="s">
        <v>141</v>
      </c>
      <c r="C169" s="13"/>
      <c r="D169" s="13"/>
      <c r="E169" s="13"/>
      <c r="F169" s="13"/>
      <c r="G169" s="54"/>
      <c r="H169" s="37"/>
      <c r="I169" s="37"/>
      <c r="J169" s="80"/>
      <c r="K169" s="83"/>
      <c r="L169" s="81">
        <f t="shared" si="3"/>
        <v>0</v>
      </c>
      <c r="M169" s="123"/>
      <c r="N169" s="123"/>
      <c r="O169" s="123"/>
      <c r="P169" s="122"/>
      <c r="Q169" s="122"/>
      <c r="R169" s="122"/>
      <c r="S169" s="122"/>
      <c r="T169" s="122"/>
      <c r="U169" s="118"/>
      <c r="V169" s="117"/>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28.5" x14ac:dyDescent="0.2">
      <c r="A170" s="96" t="s">
        <v>202</v>
      </c>
      <c r="B170" s="19" t="s">
        <v>65</v>
      </c>
      <c r="C170" s="14" t="s">
        <v>116</v>
      </c>
      <c r="D170" s="14"/>
      <c r="E170" s="14"/>
      <c r="F170" s="13"/>
      <c r="G170" s="54" t="str">
        <f>IF(C170="","",IF(C170="Yes","Please provide a copy of the SOC 2 Type 2 audit report.","Describe any plans to conduct a SOC 2 Type 2 audit."))</f>
        <v>Describe any plans to conduct a SOC 2 Type 2 audit.</v>
      </c>
      <c r="H170" s="37"/>
      <c r="I170" s="37"/>
      <c r="J170" s="80"/>
      <c r="K170" s="83"/>
      <c r="L170" s="81">
        <f t="shared" si="3"/>
        <v>0</v>
      </c>
      <c r="M170" s="123"/>
      <c r="N170" s="123"/>
      <c r="O170" s="123"/>
      <c r="P170" s="122"/>
      <c r="Q170" s="122"/>
      <c r="R170" s="122"/>
      <c r="S170" s="122"/>
      <c r="T170" s="122"/>
      <c r="U170" s="118"/>
      <c r="V170" s="117"/>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18" x14ac:dyDescent="0.2">
      <c r="A171" s="96" t="s">
        <v>203</v>
      </c>
      <c r="B171" s="19" t="s">
        <v>66</v>
      </c>
      <c r="C171" s="14" t="s">
        <v>116</v>
      </c>
      <c r="D171" s="14"/>
      <c r="E171" s="14"/>
      <c r="F171" s="13"/>
      <c r="G171" s="54"/>
      <c r="H171" s="37"/>
      <c r="I171" s="37"/>
      <c r="J171" s="80"/>
      <c r="K171" s="83"/>
      <c r="L171" s="81">
        <f t="shared" si="3"/>
        <v>0</v>
      </c>
      <c r="M171" s="123"/>
      <c r="N171" s="123"/>
      <c r="O171" s="123"/>
      <c r="P171" s="122"/>
      <c r="Q171" s="122"/>
      <c r="R171" s="122"/>
      <c r="S171" s="122"/>
      <c r="T171" s="122"/>
      <c r="U171" s="118"/>
      <c r="V171" s="117"/>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42.75" x14ac:dyDescent="0.2">
      <c r="A172" s="96" t="s">
        <v>204</v>
      </c>
      <c r="B172" s="19" t="s">
        <v>67</v>
      </c>
      <c r="C172" s="14" t="s">
        <v>115</v>
      </c>
      <c r="D172" s="14"/>
      <c r="E172" s="14"/>
      <c r="F172" s="13"/>
      <c r="G172" s="54" t="str">
        <f>IF(C172="","",IF(C172="Yes","","Please describe how your servers are physically separated/isolated from those of other customers."))</f>
        <v/>
      </c>
      <c r="H172" s="37"/>
      <c r="I172" s="37"/>
      <c r="J172" s="80"/>
      <c r="K172" s="83"/>
      <c r="L172" s="81">
        <f t="shared" si="3"/>
        <v>0</v>
      </c>
      <c r="M172" s="123"/>
      <c r="N172" s="123"/>
      <c r="O172" s="123"/>
      <c r="P172" s="122" t="s">
        <v>945</v>
      </c>
      <c r="Q172" s="124" t="s">
        <v>975</v>
      </c>
      <c r="R172" s="122" t="s">
        <v>946</v>
      </c>
      <c r="S172" s="122" t="s">
        <v>690</v>
      </c>
      <c r="T172" s="122" t="s">
        <v>691</v>
      </c>
      <c r="U172" s="118" t="s">
        <v>692</v>
      </c>
      <c r="V172" s="117" t="s">
        <v>952</v>
      </c>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42.75" x14ac:dyDescent="0.2">
      <c r="A173" s="96" t="s">
        <v>205</v>
      </c>
      <c r="B173" s="19" t="s">
        <v>638</v>
      </c>
      <c r="C173" s="14" t="s">
        <v>117</v>
      </c>
      <c r="D173" s="14"/>
      <c r="E173" s="14"/>
      <c r="F173" s="13"/>
      <c r="G173" s="54"/>
      <c r="H173" s="37"/>
      <c r="I173" s="37"/>
      <c r="J173" s="80"/>
      <c r="K173" s="83"/>
      <c r="L173" s="81">
        <f t="shared" si="3"/>
        <v>0</v>
      </c>
      <c r="M173" s="123"/>
      <c r="N173" s="123"/>
      <c r="O173" s="123"/>
      <c r="P173" s="122"/>
      <c r="Q173" s="122" t="s">
        <v>976</v>
      </c>
      <c r="R173" s="122"/>
      <c r="S173" s="122" t="s">
        <v>977</v>
      </c>
      <c r="T173" s="124" t="s">
        <v>978</v>
      </c>
      <c r="U173" s="118" t="s">
        <v>979</v>
      </c>
      <c r="V173" s="117" t="s">
        <v>952</v>
      </c>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31.5" x14ac:dyDescent="0.2">
      <c r="A174" s="96" t="s">
        <v>206</v>
      </c>
      <c r="B174" s="19" t="s">
        <v>524</v>
      </c>
      <c r="C174" s="14" t="s">
        <v>117</v>
      </c>
      <c r="D174" s="14"/>
      <c r="E174" s="14"/>
      <c r="F174" s="13"/>
      <c r="G174" s="54"/>
      <c r="H174" s="37"/>
      <c r="I174" s="37"/>
      <c r="J174" s="80"/>
      <c r="K174" s="83"/>
      <c r="L174" s="81">
        <f t="shared" si="3"/>
        <v>0</v>
      </c>
      <c r="M174" s="123"/>
      <c r="N174" s="123"/>
      <c r="O174" s="123"/>
      <c r="P174" s="122"/>
      <c r="Q174" s="124" t="s">
        <v>980</v>
      </c>
      <c r="R174" s="122"/>
      <c r="S174" s="122"/>
      <c r="T174" s="124" t="s">
        <v>981</v>
      </c>
      <c r="U174" s="118" t="s">
        <v>979</v>
      </c>
      <c r="V174" s="117" t="s">
        <v>952</v>
      </c>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28.5" x14ac:dyDescent="0.2">
      <c r="A175" s="96" t="s">
        <v>207</v>
      </c>
      <c r="B175" s="19" t="s">
        <v>525</v>
      </c>
      <c r="C175" s="13"/>
      <c r="D175" s="13"/>
      <c r="E175" s="13"/>
      <c r="F175" s="13"/>
      <c r="G175" s="54"/>
      <c r="H175" s="37"/>
      <c r="I175" s="37"/>
      <c r="J175" s="80"/>
      <c r="K175" s="83"/>
      <c r="L175" s="81">
        <f t="shared" si="3"/>
        <v>0</v>
      </c>
      <c r="M175" s="123"/>
      <c r="N175" s="123"/>
      <c r="O175" s="123"/>
      <c r="P175" s="122"/>
      <c r="Q175" s="122"/>
      <c r="R175" s="122"/>
      <c r="S175" s="122"/>
      <c r="T175" s="122"/>
      <c r="U175" s="118"/>
      <c r="V175" s="117"/>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46.5" customHeight="1" x14ac:dyDescent="0.2">
      <c r="A176" s="96" t="s">
        <v>208</v>
      </c>
      <c r="B176" s="19" t="s">
        <v>526</v>
      </c>
      <c r="C176" s="14" t="s">
        <v>117</v>
      </c>
      <c r="D176" s="14"/>
      <c r="E176" s="14"/>
      <c r="F176" s="13"/>
      <c r="G176" s="54"/>
      <c r="H176" s="37"/>
      <c r="I176" s="37"/>
      <c r="J176" s="80"/>
      <c r="K176" s="83"/>
      <c r="L176" s="81">
        <f t="shared" si="3"/>
        <v>0</v>
      </c>
      <c r="M176" s="123"/>
      <c r="N176" s="123"/>
      <c r="O176" s="123"/>
      <c r="P176" s="122"/>
      <c r="Q176" s="122"/>
      <c r="R176" s="122"/>
      <c r="S176" s="122"/>
      <c r="T176" s="122" t="s">
        <v>982</v>
      </c>
      <c r="U176" s="118"/>
      <c r="V176" s="117"/>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28.5" x14ac:dyDescent="0.2">
      <c r="A177" s="96" t="s">
        <v>209</v>
      </c>
      <c r="B177" s="19" t="s">
        <v>77</v>
      </c>
      <c r="C177" s="14" t="s">
        <v>117</v>
      </c>
      <c r="D177" s="14"/>
      <c r="E177" s="14"/>
      <c r="F177" s="13"/>
      <c r="G177" s="54"/>
      <c r="H177" s="37"/>
      <c r="I177" s="37"/>
      <c r="J177" s="80"/>
      <c r="K177" s="83"/>
      <c r="L177" s="81">
        <f t="shared" si="3"/>
        <v>0</v>
      </c>
      <c r="M177" s="123"/>
      <c r="N177" s="123"/>
      <c r="O177" s="123"/>
      <c r="P177" s="122"/>
      <c r="Q177" s="122"/>
      <c r="R177" s="122"/>
      <c r="S177" s="122"/>
      <c r="T177" s="122"/>
      <c r="U177" s="118"/>
      <c r="V177" s="11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31.5" x14ac:dyDescent="0.2">
      <c r="A178" s="96" t="s">
        <v>210</v>
      </c>
      <c r="B178" s="19" t="s">
        <v>104</v>
      </c>
      <c r="C178" s="14" t="s">
        <v>117</v>
      </c>
      <c r="D178" s="14"/>
      <c r="E178" s="14"/>
      <c r="F178" s="13"/>
      <c r="G178" s="54"/>
      <c r="H178" s="37"/>
      <c r="I178" s="37"/>
      <c r="J178" s="80"/>
      <c r="K178" s="83"/>
      <c r="L178" s="81">
        <f t="shared" si="3"/>
        <v>0</v>
      </c>
      <c r="M178" s="123"/>
      <c r="N178" s="123"/>
      <c r="O178" s="123"/>
      <c r="P178" s="122" t="s">
        <v>983</v>
      </c>
      <c r="Q178" s="122" t="s">
        <v>983</v>
      </c>
      <c r="R178" s="124" t="s">
        <v>984</v>
      </c>
      <c r="S178" s="122" t="s">
        <v>788</v>
      </c>
      <c r="T178" s="124" t="s">
        <v>985</v>
      </c>
      <c r="U178" s="118"/>
      <c r="V178" s="117" t="s">
        <v>986</v>
      </c>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57" x14ac:dyDescent="0.2">
      <c r="A179" s="96" t="s">
        <v>211</v>
      </c>
      <c r="B179" s="19" t="s">
        <v>105</v>
      </c>
      <c r="C179" s="14"/>
      <c r="D179" s="14"/>
      <c r="E179" s="14"/>
      <c r="F179" s="13"/>
      <c r="G179" s="54"/>
      <c r="H179" s="37"/>
      <c r="I179" s="37"/>
      <c r="J179" s="80"/>
      <c r="K179" s="83"/>
      <c r="L179" s="81">
        <f t="shared" si="3"/>
        <v>0</v>
      </c>
      <c r="M179" s="123"/>
      <c r="N179" s="123"/>
      <c r="O179" s="123"/>
      <c r="P179" s="122" t="s">
        <v>953</v>
      </c>
      <c r="Q179" s="124" t="s">
        <v>987</v>
      </c>
      <c r="R179" s="122" t="s">
        <v>954</v>
      </c>
      <c r="S179" s="122" t="s">
        <v>830</v>
      </c>
      <c r="T179" s="124" t="s">
        <v>988</v>
      </c>
      <c r="U179" s="118" t="s">
        <v>956</v>
      </c>
      <c r="V179" s="127" t="s">
        <v>989</v>
      </c>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7.25" x14ac:dyDescent="0.2">
      <c r="A180" s="96" t="s">
        <v>257</v>
      </c>
      <c r="B180" s="19" t="s">
        <v>250</v>
      </c>
      <c r="C180" s="14" t="s">
        <v>115</v>
      </c>
      <c r="D180" s="14"/>
      <c r="E180" s="14"/>
      <c r="F180" s="13"/>
      <c r="G180" s="54"/>
      <c r="H180" s="37"/>
      <c r="I180" s="37"/>
      <c r="J180" s="80"/>
      <c r="K180" s="83"/>
      <c r="L180" s="81">
        <f t="shared" si="3"/>
        <v>0</v>
      </c>
      <c r="M180" s="123"/>
      <c r="N180" s="123"/>
      <c r="O180" s="123"/>
      <c r="P180" s="122" t="s">
        <v>990</v>
      </c>
      <c r="Q180" s="122" t="s">
        <v>990</v>
      </c>
      <c r="R180" s="122"/>
      <c r="S180" s="122" t="s">
        <v>991</v>
      </c>
      <c r="T180" s="124" t="s">
        <v>992</v>
      </c>
      <c r="U180" s="126" t="s">
        <v>993</v>
      </c>
      <c r="V180" s="117" t="s">
        <v>800</v>
      </c>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108" x14ac:dyDescent="0.2">
      <c r="A181" s="138" t="s">
        <v>151</v>
      </c>
      <c r="B181" s="138"/>
      <c r="C181" s="2" t="s">
        <v>564</v>
      </c>
      <c r="D181" s="2" t="s">
        <v>565</v>
      </c>
      <c r="E181" s="2" t="s">
        <v>101</v>
      </c>
      <c r="F181" s="2" t="s">
        <v>17</v>
      </c>
      <c r="G181" s="2" t="s">
        <v>18</v>
      </c>
      <c r="H181" s="2" t="s">
        <v>348</v>
      </c>
      <c r="I181" s="2" t="s">
        <v>375</v>
      </c>
      <c r="J181" s="186" t="s">
        <v>615</v>
      </c>
      <c r="K181" s="187"/>
      <c r="L181" s="79">
        <f>SUM(L182:L206)</f>
        <v>0</v>
      </c>
      <c r="M181" s="104" t="s">
        <v>657</v>
      </c>
      <c r="N181" s="104" t="s">
        <v>658</v>
      </c>
      <c r="O181" s="104" t="s">
        <v>659</v>
      </c>
      <c r="P181" s="105" t="s">
        <v>660</v>
      </c>
      <c r="Q181" s="105" t="s">
        <v>661</v>
      </c>
      <c r="R181" s="105" t="s">
        <v>662</v>
      </c>
      <c r="S181" s="106" t="s">
        <v>663</v>
      </c>
      <c r="T181" s="107" t="s">
        <v>666</v>
      </c>
      <c r="U181" s="105" t="s">
        <v>669</v>
      </c>
      <c r="V181" s="105" t="s">
        <v>673</v>
      </c>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141.75" x14ac:dyDescent="0.2">
      <c r="A182" s="96" t="s">
        <v>47</v>
      </c>
      <c r="B182" s="19" t="s">
        <v>527</v>
      </c>
      <c r="C182" s="14" t="s">
        <v>115</v>
      </c>
      <c r="D182" s="14"/>
      <c r="E182" s="14"/>
      <c r="F182" s="12"/>
      <c r="G182" s="54" t="str">
        <f>IF(C182="","",IF(C182="Yes","Please state the algorithm/method used to achieve encryption in transit.","Please describe plans to encrypt data-in-transit."))</f>
        <v>Please state the algorithm/method used to achieve encryption in transit.</v>
      </c>
      <c r="H182" s="37">
        <v>18</v>
      </c>
      <c r="I182" s="37" t="s">
        <v>438</v>
      </c>
      <c r="J182" s="80"/>
      <c r="K182" s="83"/>
      <c r="L182" s="81">
        <f t="shared" si="3"/>
        <v>0</v>
      </c>
      <c r="M182" s="123"/>
      <c r="N182" s="123" t="s">
        <v>994</v>
      </c>
      <c r="O182" s="123"/>
      <c r="P182" s="122" t="s">
        <v>785</v>
      </c>
      <c r="Q182" s="122" t="s">
        <v>786</v>
      </c>
      <c r="R182" s="124" t="s">
        <v>997</v>
      </c>
      <c r="S182" s="124" t="s">
        <v>998</v>
      </c>
      <c r="T182" s="124" t="s">
        <v>999</v>
      </c>
      <c r="U182" s="126" t="s">
        <v>1000</v>
      </c>
      <c r="V182" s="127" t="s">
        <v>815</v>
      </c>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94.5" x14ac:dyDescent="0.2">
      <c r="A183" s="96" t="s">
        <v>212</v>
      </c>
      <c r="B183" s="19" t="s">
        <v>528</v>
      </c>
      <c r="C183" s="14" t="s">
        <v>115</v>
      </c>
      <c r="D183" s="14"/>
      <c r="E183" s="14"/>
      <c r="F183" s="12"/>
      <c r="G183" s="54"/>
      <c r="H183" s="37">
        <v>44</v>
      </c>
      <c r="I183" s="37" t="s">
        <v>439</v>
      </c>
      <c r="J183" s="80"/>
      <c r="K183" s="83"/>
      <c r="L183" s="81">
        <f t="shared" si="3"/>
        <v>0</v>
      </c>
      <c r="M183" s="123"/>
      <c r="N183" s="123"/>
      <c r="O183" s="123" t="s">
        <v>763</v>
      </c>
      <c r="P183" s="122" t="s">
        <v>809</v>
      </c>
      <c r="Q183" s="122" t="s">
        <v>809</v>
      </c>
      <c r="R183" s="122" t="s">
        <v>1001</v>
      </c>
      <c r="S183" s="122" t="s">
        <v>943</v>
      </c>
      <c r="T183" s="124" t="s">
        <v>1002</v>
      </c>
      <c r="U183" s="126" t="s">
        <v>1003</v>
      </c>
      <c r="V183" s="127" t="s">
        <v>815</v>
      </c>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126" x14ac:dyDescent="0.2">
      <c r="A184" s="96" t="s">
        <v>48</v>
      </c>
      <c r="B184" s="19" t="s">
        <v>485</v>
      </c>
      <c r="C184" s="14" t="s">
        <v>115</v>
      </c>
      <c r="D184" s="14"/>
      <c r="E184" s="14"/>
      <c r="F184" s="12"/>
      <c r="G184" s="54" t="str">
        <f>IF(C184="","",IF(C184="Yes","Please state the algorithm/method used to achieve encryption in transit.","Please describe plans to encrypt data-in-transit."))</f>
        <v>Please state the algorithm/method used to achieve encryption in transit.</v>
      </c>
      <c r="H184" s="37">
        <v>42</v>
      </c>
      <c r="I184" s="37" t="s">
        <v>440</v>
      </c>
      <c r="J184" s="80"/>
      <c r="K184" s="83"/>
      <c r="L184" s="81">
        <f t="shared" si="3"/>
        <v>0</v>
      </c>
      <c r="M184" s="123"/>
      <c r="N184" s="125" t="s">
        <v>995</v>
      </c>
      <c r="O184" s="123"/>
      <c r="P184" s="124" t="s">
        <v>1004</v>
      </c>
      <c r="Q184" s="124" t="s">
        <v>1005</v>
      </c>
      <c r="R184" s="124" t="s">
        <v>1006</v>
      </c>
      <c r="S184" s="122" t="s">
        <v>1007</v>
      </c>
      <c r="T184" s="124" t="s">
        <v>1008</v>
      </c>
      <c r="U184" s="118" t="s">
        <v>814</v>
      </c>
      <c r="V184" s="127" t="s">
        <v>815</v>
      </c>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78.75" x14ac:dyDescent="0.2">
      <c r="A185" s="96" t="s">
        <v>49</v>
      </c>
      <c r="B185" s="19" t="s">
        <v>529</v>
      </c>
      <c r="C185" s="14" t="s">
        <v>115</v>
      </c>
      <c r="D185" s="14"/>
      <c r="E185" s="14"/>
      <c r="F185" s="12"/>
      <c r="G185" s="54" t="str">
        <f>IF(C185="","",IF(C185="Yes","Please state the algorithm/method used to achieve encryption at rest.","Please describe plans to encrypt data-at-rest."))</f>
        <v>Please state the algorithm/method used to achieve encryption at rest.</v>
      </c>
      <c r="H185" s="37"/>
      <c r="I185" s="37" t="s">
        <v>441</v>
      </c>
      <c r="J185" s="80"/>
      <c r="K185" s="83"/>
      <c r="L185" s="81">
        <f t="shared" si="3"/>
        <v>0</v>
      </c>
      <c r="M185" s="123"/>
      <c r="N185" s="123"/>
      <c r="O185" s="123"/>
      <c r="P185" s="122" t="s">
        <v>809</v>
      </c>
      <c r="Q185" s="122" t="s">
        <v>809</v>
      </c>
      <c r="R185" s="124" t="s">
        <v>942</v>
      </c>
      <c r="S185" s="122" t="s">
        <v>943</v>
      </c>
      <c r="T185" s="124" t="s">
        <v>1009</v>
      </c>
      <c r="U185" s="118" t="s">
        <v>814</v>
      </c>
      <c r="V185" s="117" t="s">
        <v>771</v>
      </c>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63" x14ac:dyDescent="0.2">
      <c r="A186" s="96" t="s">
        <v>50</v>
      </c>
      <c r="B186" s="19" t="s">
        <v>63</v>
      </c>
      <c r="C186" s="14" t="s">
        <v>115</v>
      </c>
      <c r="D186" s="14"/>
      <c r="E186" s="14"/>
      <c r="F186" s="12"/>
      <c r="G186" s="54"/>
      <c r="H186" s="37"/>
      <c r="I186" s="37"/>
      <c r="J186" s="80"/>
      <c r="K186" s="83"/>
      <c r="L186" s="81">
        <f t="shared" si="3"/>
        <v>0</v>
      </c>
      <c r="M186" s="123"/>
      <c r="N186" s="123"/>
      <c r="O186" s="123"/>
      <c r="P186" s="122"/>
      <c r="Q186" s="122" t="s">
        <v>957</v>
      </c>
      <c r="R186" s="122"/>
      <c r="S186" s="122" t="s">
        <v>959</v>
      </c>
      <c r="T186" s="124" t="s">
        <v>1010</v>
      </c>
      <c r="U186" s="118" t="s">
        <v>961</v>
      </c>
      <c r="V186" s="117" t="s">
        <v>952</v>
      </c>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63" x14ac:dyDescent="0.2">
      <c r="A187" s="96" t="s">
        <v>51</v>
      </c>
      <c r="B187" s="19" t="s">
        <v>530</v>
      </c>
      <c r="C187" s="14" t="s">
        <v>115</v>
      </c>
      <c r="D187" s="14"/>
      <c r="E187" s="14"/>
      <c r="F187" s="25"/>
      <c r="G187" s="54"/>
      <c r="H187" s="37"/>
      <c r="I187" s="37" t="s">
        <v>442</v>
      </c>
      <c r="J187" s="80"/>
      <c r="K187" s="83"/>
      <c r="L187" s="81">
        <f t="shared" si="3"/>
        <v>0</v>
      </c>
      <c r="M187" s="123"/>
      <c r="N187" s="123"/>
      <c r="O187" s="123"/>
      <c r="P187" s="122"/>
      <c r="Q187" s="122" t="s">
        <v>1011</v>
      </c>
      <c r="R187" s="122" t="s">
        <v>1012</v>
      </c>
      <c r="S187" s="122"/>
      <c r="T187" s="124" t="s">
        <v>1013</v>
      </c>
      <c r="U187" s="118" t="s">
        <v>814</v>
      </c>
      <c r="V187" s="117" t="s">
        <v>771</v>
      </c>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126" x14ac:dyDescent="0.2">
      <c r="A188" s="96" t="s">
        <v>52</v>
      </c>
      <c r="B188" s="19" t="s">
        <v>342</v>
      </c>
      <c r="C188" s="14" t="s">
        <v>115</v>
      </c>
      <c r="D188" s="14"/>
      <c r="E188" s="14"/>
      <c r="F188" s="25"/>
      <c r="G188" s="54" t="str">
        <f>IF(C188="","",IF(C188="Yes","Please describe or provide a reference to this program.",""))</f>
        <v>Please describe or provide a reference to this program.</v>
      </c>
      <c r="H188" s="37">
        <v>38</v>
      </c>
      <c r="I188" s="37" t="s">
        <v>443</v>
      </c>
      <c r="J188" s="80"/>
      <c r="K188" s="83"/>
      <c r="L188" s="81">
        <f t="shared" si="3"/>
        <v>0</v>
      </c>
      <c r="M188" s="123"/>
      <c r="N188" s="123"/>
      <c r="O188" s="123"/>
      <c r="P188" s="124" t="s">
        <v>1014</v>
      </c>
      <c r="Q188" s="124" t="s">
        <v>1014</v>
      </c>
      <c r="R188" s="124" t="s">
        <v>1015</v>
      </c>
      <c r="S188" s="124" t="s">
        <v>1016</v>
      </c>
      <c r="T188" s="124" t="s">
        <v>1017</v>
      </c>
      <c r="U188" s="126" t="s">
        <v>1018</v>
      </c>
      <c r="V188" s="127" t="s">
        <v>1019</v>
      </c>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63" x14ac:dyDescent="0.2">
      <c r="A189" s="96" t="s">
        <v>53</v>
      </c>
      <c r="B189" s="19" t="s">
        <v>486</v>
      </c>
      <c r="C189" s="14" t="s">
        <v>115</v>
      </c>
      <c r="D189" s="14"/>
      <c r="E189" s="14"/>
      <c r="F189" s="25"/>
      <c r="G189" s="54" t="str">
        <f>IF(C189="","",IF(C189="Yes","","Please identify technologies that are not covered by your program, and how data is secured as it pertains to these technologies."))</f>
        <v/>
      </c>
      <c r="H189" s="37">
        <v>41</v>
      </c>
      <c r="I189" s="37" t="s">
        <v>444</v>
      </c>
      <c r="J189" s="80"/>
      <c r="K189" s="83"/>
      <c r="L189" s="81">
        <f t="shared" si="3"/>
        <v>0</v>
      </c>
      <c r="M189" s="123"/>
      <c r="N189" s="123"/>
      <c r="O189" s="123"/>
      <c r="P189" s="122" t="s">
        <v>1020</v>
      </c>
      <c r="Q189" s="122" t="s">
        <v>1020</v>
      </c>
      <c r="R189" s="124" t="s">
        <v>1015</v>
      </c>
      <c r="S189" s="122" t="s">
        <v>894</v>
      </c>
      <c r="T189" s="122" t="s">
        <v>712</v>
      </c>
      <c r="U189" s="126" t="s">
        <v>1021</v>
      </c>
      <c r="V189" s="127" t="s">
        <v>1022</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110.25" x14ac:dyDescent="0.2">
      <c r="A190" s="96" t="s">
        <v>54</v>
      </c>
      <c r="B190" s="19" t="s">
        <v>602</v>
      </c>
      <c r="C190" s="14" t="s">
        <v>115</v>
      </c>
      <c r="D190" s="14"/>
      <c r="E190" s="14"/>
      <c r="F190" s="25"/>
      <c r="G190" s="54"/>
      <c r="H190" s="37">
        <v>43</v>
      </c>
      <c r="I190" s="37" t="s">
        <v>445</v>
      </c>
      <c r="J190" s="80"/>
      <c r="K190" s="83"/>
      <c r="L190" s="81">
        <f t="shared" si="3"/>
        <v>0</v>
      </c>
      <c r="M190" s="123"/>
      <c r="N190" s="125" t="s">
        <v>1184</v>
      </c>
      <c r="O190" s="123" t="s">
        <v>996</v>
      </c>
      <c r="P190" s="124" t="s">
        <v>730</v>
      </c>
      <c r="Q190" s="124" t="s">
        <v>730</v>
      </c>
      <c r="R190" s="122" t="s">
        <v>1023</v>
      </c>
      <c r="S190" s="122" t="s">
        <v>830</v>
      </c>
      <c r="T190" s="124" t="s">
        <v>1024</v>
      </c>
      <c r="U190" s="126" t="s">
        <v>779</v>
      </c>
      <c r="V190" s="127" t="s">
        <v>1025</v>
      </c>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110.25" x14ac:dyDescent="0.2">
      <c r="A191" s="96" t="s">
        <v>55</v>
      </c>
      <c r="B191" s="19" t="s">
        <v>304</v>
      </c>
      <c r="C191" s="14" t="s">
        <v>115</v>
      </c>
      <c r="D191" s="14"/>
      <c r="E191" s="14"/>
      <c r="F191" s="25"/>
      <c r="G191" s="54" t="str">
        <f>IF(C191="","",IF(C191="Yes","Please describe your data loss prevention program and platforms supported.","State any plans to implement data loss prevention capabilities."))</f>
        <v>Please describe your data loss prevention program and platforms supported.</v>
      </c>
      <c r="H191" s="37">
        <v>45</v>
      </c>
      <c r="I191" s="37" t="s">
        <v>446</v>
      </c>
      <c r="J191" s="80"/>
      <c r="K191" s="83"/>
      <c r="L191" s="81">
        <f t="shared" si="3"/>
        <v>0</v>
      </c>
      <c r="M191" s="123"/>
      <c r="N191" s="123"/>
      <c r="O191" s="123"/>
      <c r="P191" s="124" t="s">
        <v>1026</v>
      </c>
      <c r="Q191" s="124" t="s">
        <v>1027</v>
      </c>
      <c r="R191" s="122" t="s">
        <v>958</v>
      </c>
      <c r="S191" s="124" t="s">
        <v>1028</v>
      </c>
      <c r="T191" s="124" t="s">
        <v>1029</v>
      </c>
      <c r="U191" s="126" t="s">
        <v>1030</v>
      </c>
      <c r="V191" s="117" t="s">
        <v>986</v>
      </c>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47.25" x14ac:dyDescent="0.2">
      <c r="A192" s="96" t="s">
        <v>213</v>
      </c>
      <c r="B192" s="19" t="s">
        <v>310</v>
      </c>
      <c r="C192" s="14" t="s">
        <v>115</v>
      </c>
      <c r="D192" s="14"/>
      <c r="E192" s="14"/>
      <c r="F192" s="25"/>
      <c r="G192" s="54" t="str">
        <f>IF(C192="","",IF(C192="Yes","Please describe the process(es) and/or control(s).",""))</f>
        <v>Please describe the process(es) and/or control(s).</v>
      </c>
      <c r="H192" s="37">
        <v>52</v>
      </c>
      <c r="I192" s="37" t="s">
        <v>447</v>
      </c>
      <c r="J192" s="80"/>
      <c r="K192" s="83"/>
      <c r="L192" s="81">
        <f t="shared" si="3"/>
        <v>0</v>
      </c>
      <c r="M192" s="123"/>
      <c r="N192" s="123" t="s">
        <v>994</v>
      </c>
      <c r="O192" s="123"/>
      <c r="P192" s="122" t="s">
        <v>1031</v>
      </c>
      <c r="Q192" s="122" t="s">
        <v>1031</v>
      </c>
      <c r="R192" s="122" t="s">
        <v>1032</v>
      </c>
      <c r="S192" s="124" t="s">
        <v>1033</v>
      </c>
      <c r="T192" s="124" t="s">
        <v>1034</v>
      </c>
      <c r="U192" s="126" t="s">
        <v>1035</v>
      </c>
      <c r="V192" s="127" t="s">
        <v>1036</v>
      </c>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28.5" x14ac:dyDescent="0.2">
      <c r="A193" s="96" t="s">
        <v>214</v>
      </c>
      <c r="B193" s="19" t="s">
        <v>475</v>
      </c>
      <c r="C193" s="14" t="s">
        <v>117</v>
      </c>
      <c r="D193" s="14"/>
      <c r="E193" s="14"/>
      <c r="F193" s="20"/>
      <c r="G193" s="54" t="str">
        <f>IF(C193="","",IF(C193="Yes","Describe the on-site staff capabilities.","State any plans to staff data centers 24x7x365."))</f>
        <v>State any plans to staff data centers 24x7x365.</v>
      </c>
      <c r="H193" s="37"/>
      <c r="I193" s="37"/>
      <c r="J193" s="80"/>
      <c r="K193" s="83"/>
      <c r="L193" s="81">
        <f t="shared" si="3"/>
        <v>0</v>
      </c>
      <c r="M193" s="123"/>
      <c r="N193" s="123"/>
      <c r="O193" s="123"/>
      <c r="P193" s="122" t="s">
        <v>945</v>
      </c>
      <c r="Q193" s="122" t="s">
        <v>945</v>
      </c>
      <c r="R193" s="122"/>
      <c r="S193" s="122" t="s">
        <v>1037</v>
      </c>
      <c r="T193" s="122" t="s">
        <v>1038</v>
      </c>
      <c r="U193" s="118" t="s">
        <v>1039</v>
      </c>
      <c r="V193" s="117" t="s">
        <v>952</v>
      </c>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57" x14ac:dyDescent="0.2">
      <c r="A194" s="96" t="s">
        <v>56</v>
      </c>
      <c r="B194" s="19" t="s">
        <v>118</v>
      </c>
      <c r="C194" s="14" t="s">
        <v>116</v>
      </c>
      <c r="D194" s="14"/>
      <c r="E194" s="14"/>
      <c r="F194" s="25"/>
      <c r="G194" s="54" t="str">
        <f>IF(C194="","",IF(C194="Yes","Please describe why logical segregation of data is not implemented/possible in your environment.","Please describe how data is segregated."))</f>
        <v>Please describe how data is segregated.</v>
      </c>
      <c r="H194" s="37"/>
      <c r="I194" s="37"/>
      <c r="J194" s="80"/>
      <c r="K194" s="83"/>
      <c r="L194" s="81">
        <f t="shared" si="3"/>
        <v>0</v>
      </c>
      <c r="M194" s="123"/>
      <c r="N194" s="123"/>
      <c r="O194" s="123"/>
      <c r="P194" s="122"/>
      <c r="Q194" s="122"/>
      <c r="R194" s="122"/>
      <c r="S194" s="122"/>
      <c r="T194" s="122"/>
      <c r="U194" s="118"/>
      <c r="V194" s="117"/>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42.75" x14ac:dyDescent="0.2">
      <c r="A195" s="96" t="s">
        <v>58</v>
      </c>
      <c r="B195" s="19" t="s">
        <v>531</v>
      </c>
      <c r="C195" s="14" t="s">
        <v>115</v>
      </c>
      <c r="D195" s="14"/>
      <c r="E195" s="14"/>
      <c r="F195" s="25"/>
      <c r="G195" s="54"/>
      <c r="H195" s="37"/>
      <c r="I195" s="37"/>
      <c r="J195" s="80"/>
      <c r="K195" s="83"/>
      <c r="L195" s="81">
        <f t="shared" si="3"/>
        <v>0</v>
      </c>
      <c r="M195" s="123"/>
      <c r="N195" s="123"/>
      <c r="O195" s="123"/>
      <c r="P195" s="122"/>
      <c r="Q195" s="122"/>
      <c r="R195" s="122"/>
      <c r="S195" s="122"/>
      <c r="T195" s="122"/>
      <c r="U195" s="118"/>
      <c r="V195" s="117"/>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47.25" x14ac:dyDescent="0.2">
      <c r="A196" s="96" t="s">
        <v>59</v>
      </c>
      <c r="B196" s="19" t="s">
        <v>131</v>
      </c>
      <c r="C196" s="14" t="s">
        <v>115</v>
      </c>
      <c r="D196" s="14"/>
      <c r="E196" s="14"/>
      <c r="F196" s="25"/>
      <c r="G196" s="54" t="str">
        <f>IF(C196="","",IF(C196="Yes","Please state the algorithm/method used to achieve encryption of databases.","Please describe plans to emcrypt databases."))</f>
        <v>Please state the algorithm/method used to achieve encryption of databases.</v>
      </c>
      <c r="H196" s="37"/>
      <c r="I196" s="37"/>
      <c r="J196" s="80"/>
      <c r="K196" s="83"/>
      <c r="L196" s="81">
        <f t="shared" si="3"/>
        <v>0</v>
      </c>
      <c r="M196" s="123"/>
      <c r="N196" s="123"/>
      <c r="O196" s="123"/>
      <c r="P196" s="122" t="s">
        <v>809</v>
      </c>
      <c r="Q196" s="122" t="s">
        <v>809</v>
      </c>
      <c r="R196" s="122" t="s">
        <v>1001</v>
      </c>
      <c r="S196" s="122" t="s">
        <v>943</v>
      </c>
      <c r="T196" s="124" t="s">
        <v>1040</v>
      </c>
      <c r="U196" s="118" t="s">
        <v>814</v>
      </c>
      <c r="V196" s="117" t="s">
        <v>771</v>
      </c>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47.25" x14ac:dyDescent="0.2">
      <c r="A197" s="96" t="s">
        <v>61</v>
      </c>
      <c r="B197" s="19" t="s">
        <v>610</v>
      </c>
      <c r="C197" s="14" t="s">
        <v>115</v>
      </c>
      <c r="D197" s="14"/>
      <c r="E197" s="14"/>
      <c r="F197" s="25"/>
      <c r="G197" s="54" t="str">
        <f>IF(C197="","",IF(C197="Yes","Please state the algorithm/method used to encrypt unstructured data.","Please describe plans to implement the encryption of unstructured data."))</f>
        <v>Please state the algorithm/method used to encrypt unstructured data.</v>
      </c>
      <c r="H197" s="37"/>
      <c r="I197" s="37"/>
      <c r="J197" s="80"/>
      <c r="K197" s="83"/>
      <c r="L197" s="81">
        <f t="shared" si="3"/>
        <v>0</v>
      </c>
      <c r="M197" s="123"/>
      <c r="N197" s="123"/>
      <c r="O197" s="123"/>
      <c r="P197" s="122" t="s">
        <v>809</v>
      </c>
      <c r="Q197" s="122" t="s">
        <v>809</v>
      </c>
      <c r="R197" s="122" t="s">
        <v>1001</v>
      </c>
      <c r="S197" s="122" t="s">
        <v>943</v>
      </c>
      <c r="T197" s="124" t="s">
        <v>1040</v>
      </c>
      <c r="U197" s="118" t="s">
        <v>814</v>
      </c>
      <c r="V197" s="117" t="s">
        <v>771</v>
      </c>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47.25" x14ac:dyDescent="0.2">
      <c r="A198" s="96" t="s">
        <v>215</v>
      </c>
      <c r="B198" s="19" t="s">
        <v>139</v>
      </c>
      <c r="C198" s="14" t="s">
        <v>115</v>
      </c>
      <c r="D198" s="14"/>
      <c r="E198" s="14"/>
      <c r="F198" s="25"/>
      <c r="G198" s="54" t="str">
        <f>IF(C198="","",IF(C198="Yes","Please describe how workstations and mobile devices are encrypted.","Describe plans to encrypt workstations and/or mobile devices."))</f>
        <v>Please describe how workstations and mobile devices are encrypted.</v>
      </c>
      <c r="H198" s="37"/>
      <c r="I198" s="37"/>
      <c r="J198" s="80"/>
      <c r="K198" s="83"/>
      <c r="L198" s="81">
        <f t="shared" si="3"/>
        <v>0</v>
      </c>
      <c r="M198" s="123"/>
      <c r="N198" s="123"/>
      <c r="O198" s="123" t="s">
        <v>763</v>
      </c>
      <c r="P198" s="122" t="s">
        <v>809</v>
      </c>
      <c r="Q198" s="122" t="s">
        <v>809</v>
      </c>
      <c r="R198" s="122" t="s">
        <v>1001</v>
      </c>
      <c r="S198" s="122" t="s">
        <v>943</v>
      </c>
      <c r="T198" s="124" t="s">
        <v>1040</v>
      </c>
      <c r="U198" s="118" t="s">
        <v>814</v>
      </c>
      <c r="V198" s="117" t="s">
        <v>771</v>
      </c>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28.5" x14ac:dyDescent="0.2">
      <c r="A199" s="96" t="s">
        <v>301</v>
      </c>
      <c r="B199" s="19" t="s">
        <v>121</v>
      </c>
      <c r="C199" s="14" t="s">
        <v>115</v>
      </c>
      <c r="D199" s="14"/>
      <c r="E199" s="14"/>
      <c r="F199" s="25"/>
      <c r="G199" s="54"/>
      <c r="H199" s="37"/>
      <c r="I199" s="37"/>
      <c r="J199" s="80"/>
      <c r="K199" s="83"/>
      <c r="L199" s="81">
        <f t="shared" si="3"/>
        <v>0</v>
      </c>
      <c r="M199" s="123"/>
      <c r="N199" s="123"/>
      <c r="O199" s="123"/>
      <c r="P199" s="122"/>
      <c r="Q199" s="122"/>
      <c r="R199" s="122"/>
      <c r="S199" s="122"/>
      <c r="T199" s="122"/>
      <c r="U199" s="118"/>
      <c r="V199" s="117"/>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47.25" x14ac:dyDescent="0.2">
      <c r="A200" s="96" t="s">
        <v>302</v>
      </c>
      <c r="B200" s="19" t="s">
        <v>639</v>
      </c>
      <c r="C200" s="14" t="s">
        <v>115</v>
      </c>
      <c r="D200" s="14"/>
      <c r="E200" s="14"/>
      <c r="F200" s="25"/>
      <c r="G200" s="54" t="str">
        <f>IF(C200="","",IF(C200="Yes","Please state the algorithm/method used to achieve encrypt data over TCP/IP.","Please describe plans to encrypt data over TCP/IP."))</f>
        <v>Please state the algorithm/method used to achieve encrypt data over TCP/IP.</v>
      </c>
      <c r="H200" s="37"/>
      <c r="I200" s="37" t="s">
        <v>441</v>
      </c>
      <c r="J200" s="80"/>
      <c r="K200" s="83"/>
      <c r="L200" s="81">
        <f t="shared" si="3"/>
        <v>0</v>
      </c>
      <c r="M200" s="123"/>
      <c r="N200" s="123" t="s">
        <v>994</v>
      </c>
      <c r="O200" s="123"/>
      <c r="P200" s="122" t="s">
        <v>684</v>
      </c>
      <c r="Q200" s="122" t="s">
        <v>684</v>
      </c>
      <c r="R200" s="124" t="s">
        <v>1041</v>
      </c>
      <c r="S200" s="122" t="s">
        <v>1007</v>
      </c>
      <c r="T200" s="124" t="s">
        <v>1042</v>
      </c>
      <c r="U200" s="126" t="s">
        <v>1043</v>
      </c>
      <c r="V200" s="117" t="s">
        <v>986</v>
      </c>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28.5" x14ac:dyDescent="0.2">
      <c r="A201" s="96" t="s">
        <v>303</v>
      </c>
      <c r="B201" s="19" t="s">
        <v>532</v>
      </c>
      <c r="C201" s="50" t="s">
        <v>115</v>
      </c>
      <c r="D201" s="50"/>
      <c r="E201" s="50"/>
      <c r="F201" s="12"/>
      <c r="G201" s="54" t="s">
        <v>253</v>
      </c>
      <c r="H201" s="37"/>
      <c r="I201" s="37"/>
      <c r="J201" s="80"/>
      <c r="K201" s="83"/>
      <c r="L201" s="81">
        <f t="shared" si="3"/>
        <v>0</v>
      </c>
      <c r="M201" s="123"/>
      <c r="N201" s="123"/>
      <c r="O201" s="123"/>
      <c r="P201" s="122"/>
      <c r="Q201" s="122"/>
      <c r="R201" s="122"/>
      <c r="S201" s="122"/>
      <c r="T201" s="122"/>
      <c r="U201" s="118"/>
      <c r="V201" s="117"/>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28.5" x14ac:dyDescent="0.2">
      <c r="A202" s="96" t="s">
        <v>309</v>
      </c>
      <c r="B202" s="19" t="s">
        <v>533</v>
      </c>
      <c r="C202" s="50" t="s">
        <v>115</v>
      </c>
      <c r="D202" s="50"/>
      <c r="E202" s="50"/>
      <c r="F202" s="12"/>
      <c r="G202" s="54" t="str">
        <f>IF(C202="","",IF(C202="Yes","Please list all cloud providers that will host Utility data.",""))</f>
        <v>Please list all cloud providers that will host Utility data.</v>
      </c>
      <c r="H202" s="37"/>
      <c r="I202" s="37"/>
      <c r="J202" s="80"/>
      <c r="K202" s="83"/>
      <c r="L202" s="81">
        <f t="shared" si="3"/>
        <v>0</v>
      </c>
      <c r="M202" s="123"/>
      <c r="N202" s="123"/>
      <c r="O202" s="123"/>
      <c r="P202" s="122"/>
      <c r="Q202" s="122"/>
      <c r="R202" s="122"/>
      <c r="S202" s="122"/>
      <c r="T202" s="122"/>
      <c r="U202" s="118"/>
      <c r="V202" s="117"/>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63" x14ac:dyDescent="0.2">
      <c r="A203" s="96" t="s">
        <v>337</v>
      </c>
      <c r="B203" s="19" t="s">
        <v>57</v>
      </c>
      <c r="C203" s="50" t="s">
        <v>115</v>
      </c>
      <c r="D203" s="50"/>
      <c r="E203" s="50"/>
      <c r="F203" s="12"/>
      <c r="G203" s="54"/>
      <c r="H203" s="37"/>
      <c r="I203" s="37"/>
      <c r="J203" s="80"/>
      <c r="K203" s="83"/>
      <c r="L203" s="81">
        <f t="shared" si="3"/>
        <v>0</v>
      </c>
      <c r="M203" s="123"/>
      <c r="N203" s="123"/>
      <c r="O203" s="123"/>
      <c r="P203" s="122"/>
      <c r="Q203" s="122" t="s">
        <v>957</v>
      </c>
      <c r="R203" s="122"/>
      <c r="S203" s="122" t="s">
        <v>959</v>
      </c>
      <c r="T203" s="124" t="s">
        <v>1010</v>
      </c>
      <c r="U203" s="118" t="s">
        <v>961</v>
      </c>
      <c r="V203" s="117" t="s">
        <v>952</v>
      </c>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3" x14ac:dyDescent="0.2">
      <c r="A204" s="96" t="s">
        <v>358</v>
      </c>
      <c r="B204" s="19" t="s">
        <v>62</v>
      </c>
      <c r="C204" s="14" t="s">
        <v>115</v>
      </c>
      <c r="D204" s="14"/>
      <c r="E204" s="14"/>
      <c r="F204" s="12"/>
      <c r="G204" s="54" t="str">
        <f>IF(C204="","",IF(C204="Yes","Please specify the algorithm used to encrypt data backups.","State any plans to encrypt data backups."))</f>
        <v>Please specify the algorithm used to encrypt data backups.</v>
      </c>
      <c r="H204" s="37"/>
      <c r="I204" s="37"/>
      <c r="J204" s="80"/>
      <c r="K204" s="83"/>
      <c r="L204" s="81">
        <f t="shared" si="3"/>
        <v>0</v>
      </c>
      <c r="M204" s="123"/>
      <c r="N204" s="123"/>
      <c r="O204" s="123"/>
      <c r="P204" s="122"/>
      <c r="Q204" s="122" t="s">
        <v>957</v>
      </c>
      <c r="R204" s="122" t="s">
        <v>958</v>
      </c>
      <c r="S204" s="124" t="s">
        <v>1044</v>
      </c>
      <c r="T204" s="124" t="s">
        <v>1010</v>
      </c>
      <c r="U204" s="126" t="s">
        <v>1045</v>
      </c>
      <c r="V204" s="117" t="s">
        <v>986</v>
      </c>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31.5" x14ac:dyDescent="0.2">
      <c r="A205" s="96" t="s">
        <v>359</v>
      </c>
      <c r="B205" s="19" t="s">
        <v>534</v>
      </c>
      <c r="C205" s="14" t="s">
        <v>115</v>
      </c>
      <c r="D205" s="14"/>
      <c r="E205" s="14"/>
      <c r="F205" s="12"/>
      <c r="G205" s="54"/>
      <c r="H205" s="37"/>
      <c r="I205" s="37"/>
      <c r="J205" s="80"/>
      <c r="K205" s="83"/>
      <c r="L205" s="81">
        <f t="shared" si="3"/>
        <v>0</v>
      </c>
      <c r="M205" s="123"/>
      <c r="N205" s="123"/>
      <c r="O205" s="123"/>
      <c r="P205" s="122"/>
      <c r="Q205" s="122" t="s">
        <v>957</v>
      </c>
      <c r="R205" s="122"/>
      <c r="S205" s="122" t="s">
        <v>959</v>
      </c>
      <c r="T205" s="124" t="s">
        <v>1046</v>
      </c>
      <c r="U205" s="118" t="s">
        <v>961</v>
      </c>
      <c r="V205" s="117" t="s">
        <v>952</v>
      </c>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28.5" x14ac:dyDescent="0.2">
      <c r="A206" s="96" t="s">
        <v>586</v>
      </c>
      <c r="B206" s="19" t="s">
        <v>640</v>
      </c>
      <c r="C206" s="14" t="s">
        <v>115</v>
      </c>
      <c r="D206" s="14"/>
      <c r="E206" s="14"/>
      <c r="F206" s="12"/>
      <c r="G206" s="65"/>
      <c r="H206" s="37"/>
      <c r="I206" s="37" t="s">
        <v>1050</v>
      </c>
      <c r="J206" s="80"/>
      <c r="K206" s="83"/>
      <c r="L206" s="81">
        <f t="shared" ref="L206:L257" si="4">J206*K206</f>
        <v>0</v>
      </c>
      <c r="M206" s="123"/>
      <c r="N206" s="123"/>
      <c r="O206" s="123"/>
      <c r="P206" s="122"/>
      <c r="Q206" s="122" t="s">
        <v>922</v>
      </c>
      <c r="R206" s="122" t="s">
        <v>1047</v>
      </c>
      <c r="S206" s="122" t="s">
        <v>1048</v>
      </c>
      <c r="T206" s="122" t="s">
        <v>1049</v>
      </c>
      <c r="U206" s="118"/>
      <c r="V206" s="117" t="s">
        <v>986</v>
      </c>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108" x14ac:dyDescent="0.2">
      <c r="A207" s="138" t="s">
        <v>152</v>
      </c>
      <c r="B207" s="138"/>
      <c r="C207" s="2" t="s">
        <v>564</v>
      </c>
      <c r="D207" s="2" t="s">
        <v>565</v>
      </c>
      <c r="E207" s="2" t="s">
        <v>101</v>
      </c>
      <c r="F207" s="2" t="s">
        <v>17</v>
      </c>
      <c r="G207" s="2" t="s">
        <v>18</v>
      </c>
      <c r="H207" s="2" t="s">
        <v>348</v>
      </c>
      <c r="I207" s="2" t="s">
        <v>375</v>
      </c>
      <c r="J207" s="186" t="s">
        <v>615</v>
      </c>
      <c r="K207" s="187"/>
      <c r="L207" s="79">
        <f>SUM(L208:L219)</f>
        <v>0</v>
      </c>
      <c r="M207" s="104" t="s">
        <v>657</v>
      </c>
      <c r="N207" s="104" t="s">
        <v>658</v>
      </c>
      <c r="O207" s="104" t="s">
        <v>659</v>
      </c>
      <c r="P207" s="105" t="s">
        <v>660</v>
      </c>
      <c r="Q207" s="105" t="s">
        <v>661</v>
      </c>
      <c r="R207" s="105" t="s">
        <v>662</v>
      </c>
      <c r="S207" s="106" t="s">
        <v>663</v>
      </c>
      <c r="T207" s="107" t="s">
        <v>666</v>
      </c>
      <c r="U207" s="105" t="s">
        <v>669</v>
      </c>
      <c r="V207" s="105" t="s">
        <v>673</v>
      </c>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63" x14ac:dyDescent="0.2">
      <c r="A208" s="97" t="s">
        <v>216</v>
      </c>
      <c r="B208" s="19" t="s">
        <v>641</v>
      </c>
      <c r="C208" s="14" t="s">
        <v>115</v>
      </c>
      <c r="D208" s="14"/>
      <c r="E208" s="14"/>
      <c r="F208" s="12"/>
      <c r="G208" s="54" t="str">
        <f>IF(C208="","",IF(C208="Yes","Please describe your Cyber Security Incident response process, including when notification would be made to purchaser.","State plans to develop and implement a Cyber Ssecurity Incident response process."))</f>
        <v>Please describe your Cyber Security Incident response process, including when notification would be made to purchaser.</v>
      </c>
      <c r="H208" s="37">
        <v>25</v>
      </c>
      <c r="I208" s="37" t="s">
        <v>448</v>
      </c>
      <c r="J208" s="80"/>
      <c r="K208" s="83"/>
      <c r="L208" s="81">
        <f t="shared" si="4"/>
        <v>0</v>
      </c>
      <c r="M208" s="125" t="s">
        <v>1051</v>
      </c>
      <c r="N208" s="123"/>
      <c r="O208" s="123"/>
      <c r="P208" s="124" t="s">
        <v>1053</v>
      </c>
      <c r="Q208" s="124" t="s">
        <v>1053</v>
      </c>
      <c r="R208" s="124" t="s">
        <v>888</v>
      </c>
      <c r="S208" s="124" t="s">
        <v>1054</v>
      </c>
      <c r="T208" s="124" t="s">
        <v>1055</v>
      </c>
      <c r="U208" s="126" t="s">
        <v>1056</v>
      </c>
      <c r="V208" s="127" t="s">
        <v>1057</v>
      </c>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78.75" x14ac:dyDescent="0.2">
      <c r="A209" s="97" t="s">
        <v>217</v>
      </c>
      <c r="B209" s="19" t="s">
        <v>642</v>
      </c>
      <c r="C209" s="14" t="s">
        <v>115</v>
      </c>
      <c r="D209" s="14"/>
      <c r="E209" s="14"/>
      <c r="F209" s="12"/>
      <c r="G209" s="54"/>
      <c r="H209" s="37">
        <v>28</v>
      </c>
      <c r="I209" s="37" t="s">
        <v>449</v>
      </c>
      <c r="J209" s="80"/>
      <c r="K209" s="83"/>
      <c r="L209" s="81">
        <f t="shared" si="4"/>
        <v>0</v>
      </c>
      <c r="M209" s="125" t="s">
        <v>1051</v>
      </c>
      <c r="N209" s="123"/>
      <c r="O209" s="123"/>
      <c r="P209" s="124" t="s">
        <v>1053</v>
      </c>
      <c r="Q209" s="124" t="s">
        <v>1053</v>
      </c>
      <c r="R209" s="122" t="s">
        <v>1058</v>
      </c>
      <c r="S209" s="124" t="s">
        <v>1054</v>
      </c>
      <c r="T209" s="124" t="s">
        <v>1177</v>
      </c>
      <c r="U209" s="126" t="s">
        <v>1059</v>
      </c>
      <c r="V209" s="127" t="s">
        <v>1057</v>
      </c>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99.75" x14ac:dyDescent="0.2">
      <c r="A210" s="97" t="s">
        <v>218</v>
      </c>
      <c r="B210" s="19" t="s">
        <v>603</v>
      </c>
      <c r="C210" s="14" t="s">
        <v>115</v>
      </c>
      <c r="D210" s="14"/>
      <c r="E210" s="14"/>
      <c r="F210" s="12"/>
      <c r="G210" s="54" t="s">
        <v>352</v>
      </c>
      <c r="H210" s="37">
        <v>36</v>
      </c>
      <c r="I210" s="37" t="s">
        <v>450</v>
      </c>
      <c r="J210" s="80"/>
      <c r="K210" s="83"/>
      <c r="L210" s="81">
        <f t="shared" si="4"/>
        <v>0</v>
      </c>
      <c r="M210" s="123" t="s">
        <v>840</v>
      </c>
      <c r="N210" s="123"/>
      <c r="O210" s="123"/>
      <c r="P210" s="124" t="s">
        <v>1053</v>
      </c>
      <c r="Q210" s="124" t="s">
        <v>1053</v>
      </c>
      <c r="R210" s="122" t="s">
        <v>1058</v>
      </c>
      <c r="S210" s="124" t="s">
        <v>1054</v>
      </c>
      <c r="T210" s="124" t="s">
        <v>1060</v>
      </c>
      <c r="U210" s="126" t="s">
        <v>1061</v>
      </c>
      <c r="V210" s="127" t="s">
        <v>1062</v>
      </c>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60.75" customHeight="1" x14ac:dyDescent="0.2">
      <c r="A211" s="97" t="s">
        <v>294</v>
      </c>
      <c r="B211" s="19" t="s">
        <v>643</v>
      </c>
      <c r="C211" s="14" t="s">
        <v>115</v>
      </c>
      <c r="D211" s="14"/>
      <c r="E211" s="14"/>
      <c r="F211" s="12"/>
      <c r="G211" s="54"/>
      <c r="H211" s="37" t="s">
        <v>451</v>
      </c>
      <c r="I211" s="37" t="s">
        <v>452</v>
      </c>
      <c r="J211" s="80"/>
      <c r="K211" s="83"/>
      <c r="L211" s="81">
        <f t="shared" si="4"/>
        <v>0</v>
      </c>
      <c r="M211" s="123"/>
      <c r="N211" s="123"/>
      <c r="O211" s="123"/>
      <c r="P211" s="122" t="s">
        <v>1063</v>
      </c>
      <c r="Q211" s="122" t="s">
        <v>1063</v>
      </c>
      <c r="R211" s="122" t="s">
        <v>1064</v>
      </c>
      <c r="S211" s="124" t="s">
        <v>1065</v>
      </c>
      <c r="T211" s="124" t="s">
        <v>1066</v>
      </c>
      <c r="U211" s="118" t="s">
        <v>1067</v>
      </c>
      <c r="V211" s="117" t="s">
        <v>846</v>
      </c>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71.25" x14ac:dyDescent="0.2">
      <c r="A212" s="97" t="s">
        <v>292</v>
      </c>
      <c r="B212" s="19" t="s">
        <v>604</v>
      </c>
      <c r="C212" s="14" t="s">
        <v>115</v>
      </c>
      <c r="D212" s="14"/>
      <c r="E212" s="14"/>
      <c r="F212" s="26"/>
      <c r="G212" s="54" t="str">
        <f>IF(C212="","",IF(C212="Yes","Please describe this process.","State plans to develop and implement such a process."))</f>
        <v>Please describe this process.</v>
      </c>
      <c r="H212" s="37"/>
      <c r="I212" s="37" t="s">
        <v>453</v>
      </c>
      <c r="J212" s="80"/>
      <c r="K212" s="83"/>
      <c r="L212" s="81">
        <f t="shared" si="4"/>
        <v>0</v>
      </c>
      <c r="M212" s="123"/>
      <c r="N212" s="123"/>
      <c r="O212" s="123"/>
      <c r="P212" s="122"/>
      <c r="Q212" s="122"/>
      <c r="R212" s="122"/>
      <c r="S212" s="122"/>
      <c r="T212" s="122"/>
      <c r="U212" s="118"/>
      <c r="V212" s="117"/>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42.75" x14ac:dyDescent="0.2">
      <c r="A213" s="97" t="s">
        <v>293</v>
      </c>
      <c r="B213" s="19" t="s">
        <v>343</v>
      </c>
      <c r="C213" s="14" t="s">
        <v>115</v>
      </c>
      <c r="D213" s="14"/>
      <c r="E213" s="14"/>
      <c r="F213" s="26"/>
      <c r="G213" s="54" t="s">
        <v>454</v>
      </c>
      <c r="H213" s="37">
        <v>33</v>
      </c>
      <c r="I213" s="37" t="s">
        <v>455</v>
      </c>
      <c r="J213" s="80"/>
      <c r="K213" s="83"/>
      <c r="L213" s="81">
        <f t="shared" si="4"/>
        <v>0</v>
      </c>
      <c r="M213" s="123"/>
      <c r="N213" s="123"/>
      <c r="O213" s="123"/>
      <c r="P213" s="122" t="s">
        <v>1068</v>
      </c>
      <c r="Q213" s="122" t="s">
        <v>1068</v>
      </c>
      <c r="R213" s="122" t="s">
        <v>1069</v>
      </c>
      <c r="S213" s="122" t="s">
        <v>848</v>
      </c>
      <c r="T213" s="122" t="s">
        <v>1070</v>
      </c>
      <c r="U213" s="118" t="s">
        <v>1071</v>
      </c>
      <c r="V213" s="117" t="s">
        <v>846</v>
      </c>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42.75" x14ac:dyDescent="0.2">
      <c r="A214" s="97" t="s">
        <v>295</v>
      </c>
      <c r="B214" s="19" t="s">
        <v>644</v>
      </c>
      <c r="C214" s="14" t="s">
        <v>115</v>
      </c>
      <c r="D214" s="14"/>
      <c r="E214" s="14"/>
      <c r="F214" s="26"/>
      <c r="G214" s="54" t="s">
        <v>456</v>
      </c>
      <c r="H214" s="37">
        <v>26</v>
      </c>
      <c r="I214" s="37" t="s">
        <v>457</v>
      </c>
      <c r="J214" s="80"/>
      <c r="K214" s="83"/>
      <c r="L214" s="81">
        <f t="shared" si="4"/>
        <v>0</v>
      </c>
      <c r="M214" s="123"/>
      <c r="N214" s="123"/>
      <c r="O214" s="123"/>
      <c r="P214" s="122" t="s">
        <v>1072</v>
      </c>
      <c r="Q214" s="122" t="s">
        <v>1072</v>
      </c>
      <c r="R214" s="122" t="s">
        <v>1064</v>
      </c>
      <c r="S214" s="122" t="s">
        <v>1073</v>
      </c>
      <c r="T214" s="124" t="s">
        <v>1074</v>
      </c>
      <c r="U214" s="118" t="s">
        <v>1071</v>
      </c>
      <c r="V214" s="117" t="s">
        <v>846</v>
      </c>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31.5" x14ac:dyDescent="0.2">
      <c r="A215" s="97" t="s">
        <v>296</v>
      </c>
      <c r="B215" s="19" t="s">
        <v>645</v>
      </c>
      <c r="C215" s="14" t="s">
        <v>115</v>
      </c>
      <c r="D215" s="14"/>
      <c r="E215" s="14"/>
      <c r="F215" s="26"/>
      <c r="G215" s="54"/>
      <c r="H215" s="37">
        <v>32</v>
      </c>
      <c r="I215" s="37" t="s">
        <v>458</v>
      </c>
      <c r="J215" s="80"/>
      <c r="K215" s="83"/>
      <c r="L215" s="81">
        <f t="shared" si="4"/>
        <v>0</v>
      </c>
      <c r="M215" s="123"/>
      <c r="N215" s="123"/>
      <c r="O215" s="123"/>
      <c r="P215" s="122" t="s">
        <v>1072</v>
      </c>
      <c r="Q215" s="122" t="s">
        <v>1072</v>
      </c>
      <c r="R215" s="122"/>
      <c r="S215" s="122" t="s">
        <v>1073</v>
      </c>
      <c r="T215" s="122"/>
      <c r="U215" s="126" t="s">
        <v>1075</v>
      </c>
      <c r="V215" s="127" t="s">
        <v>1057</v>
      </c>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47.25" x14ac:dyDescent="0.2">
      <c r="A216" s="97" t="s">
        <v>297</v>
      </c>
      <c r="B216" s="19" t="s">
        <v>646</v>
      </c>
      <c r="C216" s="14" t="s">
        <v>115</v>
      </c>
      <c r="D216" s="14"/>
      <c r="E216" s="14"/>
      <c r="F216" s="26"/>
      <c r="G216" s="54"/>
      <c r="H216" s="37">
        <v>27</v>
      </c>
      <c r="I216" s="37" t="s">
        <v>459</v>
      </c>
      <c r="J216" s="80"/>
      <c r="K216" s="83"/>
      <c r="L216" s="81">
        <f t="shared" si="4"/>
        <v>0</v>
      </c>
      <c r="M216" s="123"/>
      <c r="N216" s="123"/>
      <c r="O216" s="123"/>
      <c r="P216" s="122" t="s">
        <v>1072</v>
      </c>
      <c r="Q216" s="122" t="s">
        <v>1072</v>
      </c>
      <c r="R216" s="122" t="s">
        <v>1064</v>
      </c>
      <c r="S216" s="122" t="s">
        <v>1076</v>
      </c>
      <c r="T216" s="124" t="s">
        <v>1077</v>
      </c>
      <c r="U216" s="126" t="s">
        <v>1056</v>
      </c>
      <c r="V216" s="117" t="s">
        <v>891</v>
      </c>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63" x14ac:dyDescent="0.2">
      <c r="A217" s="97" t="s">
        <v>360</v>
      </c>
      <c r="B217" s="19" t="s">
        <v>647</v>
      </c>
      <c r="C217" s="14" t="s">
        <v>115</v>
      </c>
      <c r="D217" s="14"/>
      <c r="E217" s="14"/>
      <c r="F217" s="26"/>
      <c r="G217" s="54"/>
      <c r="H217" s="37">
        <v>29</v>
      </c>
      <c r="I217" s="37" t="s">
        <v>460</v>
      </c>
      <c r="J217" s="80"/>
      <c r="K217" s="83"/>
      <c r="L217" s="81">
        <f t="shared" si="4"/>
        <v>0</v>
      </c>
      <c r="M217" s="123" t="s">
        <v>1052</v>
      </c>
      <c r="N217" s="123"/>
      <c r="O217" s="123"/>
      <c r="P217" s="124" t="s">
        <v>1078</v>
      </c>
      <c r="Q217" s="124" t="s">
        <v>1078</v>
      </c>
      <c r="R217" s="124" t="s">
        <v>888</v>
      </c>
      <c r="S217" s="124" t="s">
        <v>1079</v>
      </c>
      <c r="T217" s="124" t="s">
        <v>1080</v>
      </c>
      <c r="U217" s="126" t="s">
        <v>1056</v>
      </c>
      <c r="V217" s="127" t="s">
        <v>1057</v>
      </c>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s="59" customFormat="1" ht="42.75" x14ac:dyDescent="0.2">
      <c r="A218" s="96" t="s">
        <v>361</v>
      </c>
      <c r="B218" s="19" t="s">
        <v>585</v>
      </c>
      <c r="C218" s="14" t="s">
        <v>115</v>
      </c>
      <c r="D218" s="14"/>
      <c r="E218" s="14"/>
      <c r="F218" s="12"/>
      <c r="G218" s="19" t="str">
        <f>IF(C218="","",IF(C218="Yes","What type of system do you use (network-based, host-based, etc.)?","State plans to implement an intrustion detection/prevention system."))</f>
        <v>What type of system do you use (network-based, host-based, etc.)?</v>
      </c>
      <c r="H218" s="37"/>
      <c r="I218" s="37"/>
      <c r="J218" s="80"/>
      <c r="K218" s="83"/>
      <c r="L218" s="81">
        <f t="shared" si="4"/>
        <v>0</v>
      </c>
      <c r="M218" s="123"/>
      <c r="N218" s="123"/>
      <c r="O218" s="123"/>
      <c r="P218" s="122" t="s">
        <v>1081</v>
      </c>
      <c r="Q218" s="122" t="s">
        <v>1081</v>
      </c>
      <c r="R218" s="122" t="s">
        <v>1064</v>
      </c>
      <c r="S218" s="124" t="s">
        <v>1082</v>
      </c>
      <c r="T218" s="124" t="s">
        <v>1083</v>
      </c>
      <c r="U218" s="118" t="s">
        <v>1084</v>
      </c>
      <c r="V218" s="127" t="s">
        <v>1085</v>
      </c>
    </row>
    <row r="219" spans="1:176" ht="31.5" x14ac:dyDescent="0.2">
      <c r="A219" s="97" t="s">
        <v>362</v>
      </c>
      <c r="B219" s="3" t="s">
        <v>153</v>
      </c>
      <c r="C219" s="14" t="s">
        <v>115</v>
      </c>
      <c r="D219" s="14"/>
      <c r="E219" s="14"/>
      <c r="F219" s="12"/>
      <c r="G219" s="54"/>
      <c r="H219" s="37"/>
      <c r="I219" s="37"/>
      <c r="J219" s="80"/>
      <c r="K219" s="83"/>
      <c r="L219" s="81">
        <f t="shared" si="4"/>
        <v>0</v>
      </c>
      <c r="M219" s="123"/>
      <c r="N219" s="123"/>
      <c r="O219" s="123"/>
      <c r="P219" s="122" t="s">
        <v>967</v>
      </c>
      <c r="Q219" s="122" t="s">
        <v>967</v>
      </c>
      <c r="R219" s="122" t="s">
        <v>918</v>
      </c>
      <c r="S219" s="124" t="s">
        <v>1086</v>
      </c>
      <c r="T219" s="122" t="s">
        <v>1087</v>
      </c>
      <c r="U219" s="118" t="s">
        <v>1088</v>
      </c>
      <c r="V219" s="117" t="s">
        <v>1089</v>
      </c>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row>
    <row r="220" spans="1:176" ht="108" x14ac:dyDescent="0.2">
      <c r="A220" s="138" t="s">
        <v>154</v>
      </c>
      <c r="B220" s="138"/>
      <c r="C220" s="2" t="s">
        <v>564</v>
      </c>
      <c r="D220" s="2" t="s">
        <v>565</v>
      </c>
      <c r="E220" s="2" t="s">
        <v>101</v>
      </c>
      <c r="F220" s="2" t="s">
        <v>17</v>
      </c>
      <c r="G220" s="2" t="s">
        <v>18</v>
      </c>
      <c r="H220" s="2" t="s">
        <v>348</v>
      </c>
      <c r="I220" s="2" t="s">
        <v>375</v>
      </c>
      <c r="J220" s="186" t="s">
        <v>615</v>
      </c>
      <c r="K220" s="187"/>
      <c r="L220" s="79">
        <f>SUM(L221:L230)</f>
        <v>0</v>
      </c>
      <c r="M220" s="104" t="s">
        <v>657</v>
      </c>
      <c r="N220" s="104" t="s">
        <v>658</v>
      </c>
      <c r="O220" s="104" t="s">
        <v>659</v>
      </c>
      <c r="P220" s="105" t="s">
        <v>660</v>
      </c>
      <c r="Q220" s="105" t="s">
        <v>661</v>
      </c>
      <c r="R220" s="105" t="s">
        <v>662</v>
      </c>
      <c r="S220" s="106" t="s">
        <v>663</v>
      </c>
      <c r="T220" s="107" t="s">
        <v>666</v>
      </c>
      <c r="U220" s="105" t="s">
        <v>669</v>
      </c>
      <c r="V220" s="105" t="s">
        <v>673</v>
      </c>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28.5" x14ac:dyDescent="0.2">
      <c r="A221" s="97" t="s">
        <v>219</v>
      </c>
      <c r="B221" s="3" t="s">
        <v>535</v>
      </c>
      <c r="C221" s="14" t="s">
        <v>116</v>
      </c>
      <c r="D221" s="14" t="s">
        <v>116</v>
      </c>
      <c r="E221" s="14" t="s">
        <v>116</v>
      </c>
      <c r="F221" s="12"/>
      <c r="G221" s="54" t="s">
        <v>155</v>
      </c>
      <c r="H221" s="38"/>
      <c r="I221" s="38"/>
      <c r="J221" s="80"/>
      <c r="K221" s="83"/>
      <c r="L221" s="81">
        <f t="shared" si="4"/>
        <v>0</v>
      </c>
      <c r="M221" s="123"/>
      <c r="N221" s="123"/>
      <c r="O221" s="123"/>
      <c r="P221" s="122"/>
      <c r="Q221" s="122"/>
      <c r="R221" s="122"/>
      <c r="S221" s="122"/>
      <c r="T221" s="122"/>
      <c r="U221" s="118"/>
      <c r="V221" s="117"/>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57" x14ac:dyDescent="0.2">
      <c r="A222" s="97" t="s">
        <v>220</v>
      </c>
      <c r="B222" s="3" t="s">
        <v>73</v>
      </c>
      <c r="C222" s="50"/>
      <c r="D222" s="50"/>
      <c r="E222" s="50"/>
      <c r="F222" s="12"/>
      <c r="G222" s="54" t="s">
        <v>572</v>
      </c>
      <c r="H222" s="38"/>
      <c r="I222" s="38"/>
      <c r="J222" s="80"/>
      <c r="K222" s="83"/>
      <c r="L222" s="81">
        <f t="shared" si="4"/>
        <v>0</v>
      </c>
      <c r="M222" s="123"/>
      <c r="N222" s="123"/>
      <c r="O222" s="123"/>
      <c r="P222" s="122"/>
      <c r="Q222" s="122"/>
      <c r="R222" s="122"/>
      <c r="S222" s="122"/>
      <c r="T222" s="122"/>
      <c r="U222" s="118"/>
      <c r="V222" s="117"/>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28.5" x14ac:dyDescent="0.2">
      <c r="A223" s="97" t="s">
        <v>221</v>
      </c>
      <c r="B223" s="3" t="s">
        <v>99</v>
      </c>
      <c r="C223" s="14" t="s">
        <v>117</v>
      </c>
      <c r="D223" s="14"/>
      <c r="E223" s="14"/>
      <c r="F223" s="13"/>
      <c r="G223" s="54" t="str">
        <f>IF(C223="","",IF(C223="Yes","State the application title as listed within the trusted source.","Decribe how the application is distributed. Also, state any plans to publish the app to a trusted source."))</f>
        <v>Decribe how the application is distributed. Also, state any plans to publish the app to a trusted source.</v>
      </c>
      <c r="H223" s="38"/>
      <c r="I223" s="38"/>
      <c r="J223" s="80"/>
      <c r="K223" s="83"/>
      <c r="L223" s="81">
        <f t="shared" si="4"/>
        <v>0</v>
      </c>
      <c r="M223" s="123"/>
      <c r="N223" s="123"/>
      <c r="O223" s="123"/>
      <c r="P223" s="122"/>
      <c r="Q223" s="122"/>
      <c r="R223" s="122"/>
      <c r="S223" s="122"/>
      <c r="T223" s="122"/>
      <c r="U223" s="118"/>
      <c r="V223" s="117"/>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42.75" x14ac:dyDescent="0.2">
      <c r="A224" s="97" t="s">
        <v>222</v>
      </c>
      <c r="B224" s="3" t="s">
        <v>156</v>
      </c>
      <c r="C224" s="14" t="s">
        <v>117</v>
      </c>
      <c r="D224" s="14"/>
      <c r="E224" s="14"/>
      <c r="F224" s="13"/>
      <c r="G224" s="54" t="str">
        <f>IF(C224="","",IF(C224="Yes","Provide a detailed summary for your response.",""))</f>
        <v/>
      </c>
      <c r="H224" s="38"/>
      <c r="I224" s="38"/>
      <c r="J224" s="80"/>
      <c r="K224" s="83"/>
      <c r="L224" s="81">
        <f t="shared" si="4"/>
        <v>0</v>
      </c>
      <c r="M224" s="123"/>
      <c r="N224" s="123"/>
      <c r="O224" s="123"/>
      <c r="P224" s="122"/>
      <c r="Q224" s="122"/>
      <c r="R224" s="122"/>
      <c r="S224" s="122"/>
      <c r="T224" s="122"/>
      <c r="U224" s="118"/>
      <c r="V224" s="117"/>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71.25" x14ac:dyDescent="0.2">
      <c r="A225" s="97" t="s">
        <v>223</v>
      </c>
      <c r="B225" s="3" t="s">
        <v>122</v>
      </c>
      <c r="C225" s="14" t="s">
        <v>117</v>
      </c>
      <c r="D225" s="14"/>
      <c r="E225" s="14"/>
      <c r="F225" s="13"/>
      <c r="G225" s="54" t="str">
        <f>IF(C225="","",IF(C225="Yes","Provide a detailed description of what data will be stored and in which location(s), as well as why storing this data in this/these location(s) is necessary.",""))</f>
        <v/>
      </c>
      <c r="H225" s="38"/>
      <c r="I225" s="38"/>
      <c r="J225" s="80"/>
      <c r="K225" s="83"/>
      <c r="L225" s="81">
        <f t="shared" si="4"/>
        <v>0</v>
      </c>
      <c r="M225" s="123"/>
      <c r="N225" s="123"/>
      <c r="O225" s="123"/>
      <c r="P225" s="122"/>
      <c r="Q225" s="122"/>
      <c r="R225" s="122"/>
      <c r="S225" s="122"/>
      <c r="T225" s="122"/>
      <c r="U225" s="118"/>
      <c r="V225" s="117"/>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28.5" x14ac:dyDescent="0.2">
      <c r="A226" s="97" t="s">
        <v>224</v>
      </c>
      <c r="B226" s="3" t="s">
        <v>536</v>
      </c>
      <c r="C226" s="14" t="s">
        <v>117</v>
      </c>
      <c r="D226" s="14"/>
      <c r="E226" s="14"/>
      <c r="F226" s="13"/>
      <c r="G226" s="54" t="str">
        <f>IF(C226="","",IF(C226="Yes","Summarize your MDM capabilities.","State any plans to implement a MDM platform in your environment."))</f>
        <v>State any plans to implement a MDM platform in your environment.</v>
      </c>
      <c r="H226" s="38"/>
      <c r="I226" s="38"/>
      <c r="J226" s="80"/>
      <c r="K226" s="83"/>
      <c r="L226" s="81">
        <f t="shared" si="4"/>
        <v>0</v>
      </c>
      <c r="M226" s="123"/>
      <c r="N226" s="123"/>
      <c r="O226" s="123"/>
      <c r="P226" s="122"/>
      <c r="Q226" s="122"/>
      <c r="R226" s="122"/>
      <c r="S226" s="122"/>
      <c r="T226" s="122"/>
      <c r="U226" s="118"/>
      <c r="V226" s="117"/>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ht="42.75" x14ac:dyDescent="0.2">
      <c r="A227" s="97" t="s">
        <v>225</v>
      </c>
      <c r="B227" s="3" t="s">
        <v>123</v>
      </c>
      <c r="C227" s="14" t="s">
        <v>117</v>
      </c>
      <c r="D227" s="14"/>
      <c r="E227" s="14"/>
      <c r="F227" s="13"/>
      <c r="G227" s="54" t="str">
        <f>IF(C227="","",IF(C227="Yes","State any capabilities and plans to detect and prevent the use of jailbroken devices.","Please provide an explanation on how this is enforced."))</f>
        <v>Please provide an explanation on how this is enforced.</v>
      </c>
      <c r="H227" s="38"/>
      <c r="I227" s="38"/>
      <c r="J227" s="80"/>
      <c r="K227" s="83"/>
      <c r="L227" s="81">
        <f t="shared" si="4"/>
        <v>0</v>
      </c>
      <c r="M227" s="123"/>
      <c r="N227" s="123"/>
      <c r="O227" s="123"/>
      <c r="P227" s="122" t="s">
        <v>983</v>
      </c>
      <c r="Q227" s="122" t="s">
        <v>983</v>
      </c>
      <c r="R227" s="122" t="s">
        <v>1090</v>
      </c>
      <c r="S227" s="122"/>
      <c r="T227" s="122" t="s">
        <v>1049</v>
      </c>
      <c r="U227" s="118" t="s">
        <v>1091</v>
      </c>
      <c r="V227" s="117" t="s">
        <v>771</v>
      </c>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row>
    <row r="228" spans="1:176" ht="126" x14ac:dyDescent="0.2">
      <c r="A228" s="97" t="s">
        <v>226</v>
      </c>
      <c r="B228" s="3" t="s">
        <v>537</v>
      </c>
      <c r="C228" s="14" t="s">
        <v>117</v>
      </c>
      <c r="D228" s="14"/>
      <c r="E228" s="14"/>
      <c r="F228" s="13"/>
      <c r="G228" s="54" t="str">
        <f>IF(C228="","",IF(C228="Yes","Describe how data is encrypted in transport. (i.e. from system to app)","Summarize why data is not encrypted in transport. (i.e. from system to app)"))</f>
        <v>Summarize why data is not encrypted in transport. (i.e. from system to app)</v>
      </c>
      <c r="H228" s="38"/>
      <c r="I228" s="38"/>
      <c r="J228" s="80"/>
      <c r="K228" s="83"/>
      <c r="L228" s="81">
        <f t="shared" si="4"/>
        <v>0</v>
      </c>
      <c r="M228" s="123"/>
      <c r="N228" s="123" t="s">
        <v>994</v>
      </c>
      <c r="O228" s="123"/>
      <c r="P228" s="122" t="s">
        <v>684</v>
      </c>
      <c r="Q228" s="122" t="s">
        <v>684</v>
      </c>
      <c r="R228" s="124" t="s">
        <v>1006</v>
      </c>
      <c r="S228" s="122" t="s">
        <v>1007</v>
      </c>
      <c r="T228" s="124" t="s">
        <v>1008</v>
      </c>
      <c r="U228" s="118" t="s">
        <v>814</v>
      </c>
      <c r="V228" s="127" t="s">
        <v>815</v>
      </c>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126" x14ac:dyDescent="0.2">
      <c r="A229" s="97" t="s">
        <v>227</v>
      </c>
      <c r="B229" s="3" t="s">
        <v>538</v>
      </c>
      <c r="C229" s="14" t="s">
        <v>117</v>
      </c>
      <c r="D229" s="14"/>
      <c r="E229" s="14"/>
      <c r="F229" s="13"/>
      <c r="G229" s="54" t="str">
        <f>IF(C229="","",IF(C229="Yes","Describe how data is encrypted in storage (i.e. at-rest within the app).","Summarize why data is not encrypted in storage (i.e. at-rest within the app)"))</f>
        <v>Summarize why data is not encrypted in storage (i.e. at-rest within the app)</v>
      </c>
      <c r="H229" s="38"/>
      <c r="I229" s="38"/>
      <c r="J229" s="80"/>
      <c r="K229" s="83"/>
      <c r="L229" s="81">
        <f t="shared" si="4"/>
        <v>0</v>
      </c>
      <c r="M229" s="123"/>
      <c r="N229" s="123"/>
      <c r="O229" s="123" t="s">
        <v>763</v>
      </c>
      <c r="P229" s="122" t="s">
        <v>809</v>
      </c>
      <c r="Q229" s="122" t="s">
        <v>809</v>
      </c>
      <c r="R229" s="122" t="s">
        <v>1001</v>
      </c>
      <c r="S229" s="122" t="s">
        <v>943</v>
      </c>
      <c r="T229" s="124" t="s">
        <v>1092</v>
      </c>
      <c r="U229" s="118" t="s">
        <v>814</v>
      </c>
      <c r="V229" s="117" t="s">
        <v>771</v>
      </c>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71.25" x14ac:dyDescent="0.2">
      <c r="A230" s="97" t="s">
        <v>228</v>
      </c>
      <c r="B230" s="3" t="s">
        <v>157</v>
      </c>
      <c r="C230" s="14" t="s">
        <v>117</v>
      </c>
      <c r="D230" s="14"/>
      <c r="E230" s="14"/>
      <c r="F230" s="13"/>
      <c r="G230" s="54" t="str">
        <f>IF(C230="","",IF(C230="Yes","Please provide additional information on the methodology used for the vulnerability testing and indicate if the testing was internal or external.","Please state any plans to perform vulnerability testing on the application."))</f>
        <v>Please state any plans to perform vulnerability testing on the application.</v>
      </c>
      <c r="H230" s="38"/>
      <c r="I230" s="38"/>
      <c r="J230" s="80"/>
      <c r="K230" s="83"/>
      <c r="L230" s="81">
        <f t="shared" si="4"/>
        <v>0</v>
      </c>
      <c r="M230" s="123"/>
      <c r="N230" s="123"/>
      <c r="O230" s="123"/>
      <c r="P230" s="122"/>
      <c r="Q230" s="122" t="s">
        <v>1093</v>
      </c>
      <c r="R230" s="122"/>
      <c r="S230" s="122" t="s">
        <v>1094</v>
      </c>
      <c r="T230" s="124" t="s">
        <v>1095</v>
      </c>
      <c r="U230" s="118"/>
      <c r="V230" s="117"/>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108" x14ac:dyDescent="0.2">
      <c r="A231" s="138" t="s">
        <v>158</v>
      </c>
      <c r="B231" s="138"/>
      <c r="C231" s="2" t="s">
        <v>564</v>
      </c>
      <c r="D231" s="2" t="s">
        <v>565</v>
      </c>
      <c r="E231" s="2" t="s">
        <v>101</v>
      </c>
      <c r="F231" s="2" t="s">
        <v>17</v>
      </c>
      <c r="G231" s="2" t="s">
        <v>18</v>
      </c>
      <c r="H231" s="2" t="s">
        <v>348</v>
      </c>
      <c r="I231" s="2" t="s">
        <v>375</v>
      </c>
      <c r="J231" s="186" t="s">
        <v>615</v>
      </c>
      <c r="K231" s="187"/>
      <c r="L231" s="79">
        <f>SUM(L232:L257)</f>
        <v>0</v>
      </c>
      <c r="M231" s="104" t="s">
        <v>657</v>
      </c>
      <c r="N231" s="104" t="s">
        <v>658</v>
      </c>
      <c r="O231" s="104" t="s">
        <v>659</v>
      </c>
      <c r="P231" s="105" t="s">
        <v>660</v>
      </c>
      <c r="Q231" s="105" t="s">
        <v>661</v>
      </c>
      <c r="R231" s="105" t="s">
        <v>662</v>
      </c>
      <c r="S231" s="106" t="s">
        <v>663</v>
      </c>
      <c r="T231" s="107" t="s">
        <v>666</v>
      </c>
      <c r="U231" s="105" t="s">
        <v>669</v>
      </c>
      <c r="V231" s="105" t="s">
        <v>673</v>
      </c>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63" x14ac:dyDescent="0.2">
      <c r="A232" s="97" t="s">
        <v>229</v>
      </c>
      <c r="B232" s="3" t="s">
        <v>74</v>
      </c>
      <c r="C232" s="14" t="s">
        <v>115</v>
      </c>
      <c r="D232" s="14"/>
      <c r="E232" s="14"/>
      <c r="F232" s="13"/>
      <c r="G232" s="55" t="str">
        <f>IF(C232="","",IF(C232="Yes","Provide a copy of your physical security controls and policies along with this document (link or attached).","Describe your intent to implement physical security controls and policies."))</f>
        <v>Provide a copy of your physical security controls and policies along with this document (link or attached).</v>
      </c>
      <c r="H232" s="37"/>
      <c r="I232" s="37"/>
      <c r="J232" s="80"/>
      <c r="K232" s="83"/>
      <c r="L232" s="81">
        <f t="shared" si="4"/>
        <v>0</v>
      </c>
      <c r="M232" s="123"/>
      <c r="N232" s="123"/>
      <c r="O232" s="123"/>
      <c r="P232" s="122" t="s">
        <v>945</v>
      </c>
      <c r="Q232" s="122" t="s">
        <v>945</v>
      </c>
      <c r="R232" s="124" t="s">
        <v>1099</v>
      </c>
      <c r="S232" s="122" t="s">
        <v>690</v>
      </c>
      <c r="T232" s="124" t="s">
        <v>1100</v>
      </c>
      <c r="U232" s="126" t="s">
        <v>1101</v>
      </c>
      <c r="V232" s="117" t="s">
        <v>693</v>
      </c>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99.75" x14ac:dyDescent="0.2">
      <c r="A233" s="97" t="s">
        <v>230</v>
      </c>
      <c r="B233" s="19" t="s">
        <v>124</v>
      </c>
      <c r="C233" s="14" t="s">
        <v>115</v>
      </c>
      <c r="D233" s="14"/>
      <c r="E233" s="14"/>
      <c r="F233" s="20"/>
      <c r="G233" s="54" t="str">
        <f>IF(C233="","",IF(C233="Yes","List open source code or freeware/shareware utilized, including frameworks. Describe how you verify integrity and maintain this code, including monitoring for vulnerabilities and deploying patches.",""))</f>
        <v>List open source code or freeware/shareware utilized, including frameworks. Describe how you verify integrity and maintain this code, including monitoring for vulnerabilities and deploying patches.</v>
      </c>
      <c r="H233" s="37"/>
      <c r="I233" s="37"/>
      <c r="J233" s="80"/>
      <c r="K233" s="83"/>
      <c r="L233" s="81">
        <f t="shared" si="4"/>
        <v>0</v>
      </c>
      <c r="M233" s="123"/>
      <c r="N233" s="123"/>
      <c r="O233" s="123"/>
      <c r="P233" s="122" t="s">
        <v>1102</v>
      </c>
      <c r="Q233" s="122" t="s">
        <v>1102</v>
      </c>
      <c r="R233" s="122"/>
      <c r="S233" s="122"/>
      <c r="T233" s="122"/>
      <c r="U233" s="118"/>
      <c r="V233" s="117"/>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31.5" x14ac:dyDescent="0.2">
      <c r="A234" s="97" t="s">
        <v>231</v>
      </c>
      <c r="B234" s="19" t="s">
        <v>272</v>
      </c>
      <c r="C234" s="14" t="s">
        <v>115</v>
      </c>
      <c r="D234" s="14"/>
      <c r="E234" s="14"/>
      <c r="F234" s="20"/>
      <c r="G234" s="54" t="str">
        <f>IF(C234="","",IF(C234="Yes","Please describe in appropriate detail.","Please describe how you ensure security of products during electronic transport."))</f>
        <v>Please describe in appropriate detail.</v>
      </c>
      <c r="H234" s="37">
        <v>60</v>
      </c>
      <c r="I234" s="37" t="s">
        <v>461</v>
      </c>
      <c r="J234" s="80"/>
      <c r="K234" s="83"/>
      <c r="L234" s="81">
        <f t="shared" si="4"/>
        <v>0</v>
      </c>
      <c r="M234" s="123" t="s">
        <v>676</v>
      </c>
      <c r="N234" s="123"/>
      <c r="O234" s="123"/>
      <c r="P234" s="124" t="s">
        <v>1103</v>
      </c>
      <c r="Q234" s="124" t="s">
        <v>1103</v>
      </c>
      <c r="R234" s="122"/>
      <c r="S234" s="122"/>
      <c r="T234" s="122"/>
      <c r="U234" s="118"/>
      <c r="V234" s="117" t="s">
        <v>986</v>
      </c>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63" x14ac:dyDescent="0.2">
      <c r="A235" s="97" t="s">
        <v>232</v>
      </c>
      <c r="B235" s="19" t="s">
        <v>605</v>
      </c>
      <c r="C235" s="14" t="s">
        <v>115</v>
      </c>
      <c r="D235" s="14"/>
      <c r="E235" s="14"/>
      <c r="F235" s="20"/>
      <c r="G235" s="54" t="str">
        <f>IF(C235="","",IF(C235="Yes","Please describe how this is accomplished.",""))</f>
        <v>Please describe how this is accomplished.</v>
      </c>
      <c r="H235" s="37"/>
      <c r="I235" s="37" t="s">
        <v>462</v>
      </c>
      <c r="J235" s="80"/>
      <c r="K235" s="83"/>
      <c r="L235" s="81">
        <f t="shared" si="4"/>
        <v>0</v>
      </c>
      <c r="M235" s="123" t="s">
        <v>676</v>
      </c>
      <c r="N235" s="123"/>
      <c r="O235" s="123" t="s">
        <v>677</v>
      </c>
      <c r="P235" s="122" t="s">
        <v>878</v>
      </c>
      <c r="Q235" s="122" t="s">
        <v>878</v>
      </c>
      <c r="R235" s="122"/>
      <c r="S235" s="122" t="s">
        <v>694</v>
      </c>
      <c r="T235" s="124" t="s">
        <v>1104</v>
      </c>
      <c r="U235" s="118"/>
      <c r="V235" s="117" t="s">
        <v>747</v>
      </c>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42.75" x14ac:dyDescent="0.2">
      <c r="A236" s="97" t="s">
        <v>233</v>
      </c>
      <c r="B236" s="19" t="s">
        <v>344</v>
      </c>
      <c r="C236" s="14" t="s">
        <v>115</v>
      </c>
      <c r="D236" s="14"/>
      <c r="E236" s="14"/>
      <c r="F236" s="20"/>
      <c r="G236" s="54"/>
      <c r="H236" s="37" t="s">
        <v>463</v>
      </c>
      <c r="I236" s="37" t="s">
        <v>464</v>
      </c>
      <c r="J236" s="80"/>
      <c r="K236" s="83"/>
      <c r="L236" s="81">
        <f t="shared" si="4"/>
        <v>0</v>
      </c>
      <c r="M236" s="123" t="s">
        <v>676</v>
      </c>
      <c r="N236" s="123"/>
      <c r="O236" s="123"/>
      <c r="P236" s="122" t="s">
        <v>1105</v>
      </c>
      <c r="Q236" s="122" t="s">
        <v>1105</v>
      </c>
      <c r="R236" s="122" t="s">
        <v>1106</v>
      </c>
      <c r="S236" s="122" t="s">
        <v>1107</v>
      </c>
      <c r="T236" s="124" t="s">
        <v>1108</v>
      </c>
      <c r="U236" s="126" t="s">
        <v>1109</v>
      </c>
      <c r="V236" s="117" t="s">
        <v>1110</v>
      </c>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47.25" x14ac:dyDescent="0.2">
      <c r="A237" s="97" t="s">
        <v>234</v>
      </c>
      <c r="B237" s="19" t="s">
        <v>539</v>
      </c>
      <c r="C237" s="14" t="s">
        <v>115</v>
      </c>
      <c r="D237" s="14"/>
      <c r="E237" s="14"/>
      <c r="F237" s="20"/>
      <c r="G237" s="54"/>
      <c r="H237" s="37">
        <v>51</v>
      </c>
      <c r="I237" s="37" t="s">
        <v>465</v>
      </c>
      <c r="J237" s="80"/>
      <c r="K237" s="83"/>
      <c r="L237" s="81">
        <f t="shared" si="4"/>
        <v>0</v>
      </c>
      <c r="M237" s="123" t="s">
        <v>1096</v>
      </c>
      <c r="N237" s="123"/>
      <c r="O237" s="123"/>
      <c r="P237" s="124" t="s">
        <v>1111</v>
      </c>
      <c r="Q237" s="124" t="s">
        <v>1111</v>
      </c>
      <c r="R237" s="122" t="s">
        <v>918</v>
      </c>
      <c r="S237" s="124" t="s">
        <v>699</v>
      </c>
      <c r="T237" s="122" t="s">
        <v>1112</v>
      </c>
      <c r="U237" s="126" t="s">
        <v>1113</v>
      </c>
      <c r="V237" s="127" t="s">
        <v>1114</v>
      </c>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31.5" x14ac:dyDescent="0.2">
      <c r="A238" s="97" t="s">
        <v>235</v>
      </c>
      <c r="B238" s="19" t="s">
        <v>290</v>
      </c>
      <c r="C238" s="14" t="s">
        <v>115</v>
      </c>
      <c r="D238" s="14"/>
      <c r="E238" s="14"/>
      <c r="F238" s="20"/>
      <c r="G238" s="54"/>
      <c r="H238" s="37">
        <v>20</v>
      </c>
      <c r="I238" s="37"/>
      <c r="J238" s="80"/>
      <c r="K238" s="83"/>
      <c r="L238" s="81">
        <f t="shared" si="4"/>
        <v>0</v>
      </c>
      <c r="M238" s="123"/>
      <c r="N238" s="123"/>
      <c r="O238" s="123"/>
      <c r="P238" s="124" t="s">
        <v>1115</v>
      </c>
      <c r="Q238" s="124" t="s">
        <v>1115</v>
      </c>
      <c r="R238" s="122"/>
      <c r="S238" s="122"/>
      <c r="T238" s="122"/>
      <c r="U238" s="118"/>
      <c r="V238" s="127" t="s">
        <v>1114</v>
      </c>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47.25" x14ac:dyDescent="0.2">
      <c r="A239" s="97" t="s">
        <v>236</v>
      </c>
      <c r="B239" s="19" t="s">
        <v>487</v>
      </c>
      <c r="C239" s="14" t="s">
        <v>115</v>
      </c>
      <c r="D239" s="14"/>
      <c r="E239" s="14"/>
      <c r="F239" s="20"/>
      <c r="G239" s="54"/>
      <c r="H239" s="37">
        <v>37</v>
      </c>
      <c r="I239" s="37" t="s">
        <v>466</v>
      </c>
      <c r="J239" s="80"/>
      <c r="K239" s="83"/>
      <c r="L239" s="81">
        <f t="shared" si="4"/>
        <v>0</v>
      </c>
      <c r="M239" s="123"/>
      <c r="N239" s="123"/>
      <c r="O239" s="123"/>
      <c r="P239" s="122" t="s">
        <v>1116</v>
      </c>
      <c r="Q239" s="122" t="s">
        <v>1116</v>
      </c>
      <c r="R239" s="122" t="s">
        <v>1032</v>
      </c>
      <c r="S239" s="122" t="s">
        <v>1117</v>
      </c>
      <c r="T239" s="124" t="s">
        <v>1118</v>
      </c>
      <c r="U239" s="126" t="s">
        <v>1119</v>
      </c>
      <c r="V239" s="117"/>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110.25" x14ac:dyDescent="0.2">
      <c r="A240" s="97" t="s">
        <v>237</v>
      </c>
      <c r="B240" s="19" t="s">
        <v>606</v>
      </c>
      <c r="C240" s="14" t="s">
        <v>115</v>
      </c>
      <c r="D240" s="14"/>
      <c r="E240" s="14"/>
      <c r="F240" s="20"/>
      <c r="G240" s="54" t="str">
        <f>IF(C240="","",IF(C240="Yes","Please describe this program.","Please describe how this is accomplished in absence of formal process or program."))</f>
        <v>Please describe this program.</v>
      </c>
      <c r="H240" s="37">
        <v>49</v>
      </c>
      <c r="I240" s="37" t="s">
        <v>467</v>
      </c>
      <c r="J240" s="80"/>
      <c r="K240" s="83"/>
      <c r="L240" s="81">
        <f t="shared" si="4"/>
        <v>0</v>
      </c>
      <c r="M240" s="123" t="s">
        <v>676</v>
      </c>
      <c r="N240" s="123"/>
      <c r="O240" s="123" t="s">
        <v>677</v>
      </c>
      <c r="P240" s="124" t="s">
        <v>1120</v>
      </c>
      <c r="Q240" s="124" t="s">
        <v>1120</v>
      </c>
      <c r="R240" s="124" t="s">
        <v>1121</v>
      </c>
      <c r="S240" s="124" t="s">
        <v>1122</v>
      </c>
      <c r="T240" s="124" t="s">
        <v>1123</v>
      </c>
      <c r="U240" s="126" t="s">
        <v>1124</v>
      </c>
      <c r="V240" s="127" t="s">
        <v>1125</v>
      </c>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57" x14ac:dyDescent="0.2">
      <c r="A241" s="97" t="s">
        <v>238</v>
      </c>
      <c r="B241" s="19" t="s">
        <v>312</v>
      </c>
      <c r="C241" s="14" t="s">
        <v>115</v>
      </c>
      <c r="D241" s="14"/>
      <c r="E241" s="14"/>
      <c r="F241" s="20"/>
      <c r="G241" s="54"/>
      <c r="H241" s="37">
        <v>53</v>
      </c>
      <c r="I241" s="37" t="s">
        <v>468</v>
      </c>
      <c r="J241" s="80"/>
      <c r="K241" s="83"/>
      <c r="L241" s="81">
        <f t="shared" si="4"/>
        <v>0</v>
      </c>
      <c r="M241" s="123" t="s">
        <v>676</v>
      </c>
      <c r="N241" s="123"/>
      <c r="O241" s="123"/>
      <c r="P241" s="122" t="s">
        <v>878</v>
      </c>
      <c r="Q241" s="122" t="s">
        <v>878</v>
      </c>
      <c r="R241" s="122"/>
      <c r="S241" s="122" t="s">
        <v>694</v>
      </c>
      <c r="T241" s="124" t="s">
        <v>1126</v>
      </c>
      <c r="U241" s="126" t="s">
        <v>1127</v>
      </c>
      <c r="V241" s="117" t="s">
        <v>747</v>
      </c>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42.75" x14ac:dyDescent="0.2">
      <c r="A242" s="97" t="s">
        <v>239</v>
      </c>
      <c r="B242" s="19" t="s">
        <v>540</v>
      </c>
      <c r="C242" s="14" t="s">
        <v>115</v>
      </c>
      <c r="D242" s="14"/>
      <c r="E242" s="14"/>
      <c r="F242" s="20"/>
      <c r="G242" s="54"/>
      <c r="H242" s="37"/>
      <c r="I242" s="37" t="s">
        <v>469</v>
      </c>
      <c r="J242" s="80"/>
      <c r="K242" s="83"/>
      <c r="L242" s="81">
        <f t="shared" si="4"/>
        <v>0</v>
      </c>
      <c r="M242" s="123"/>
      <c r="N242" s="123"/>
      <c r="O242" s="123"/>
      <c r="P242" s="122"/>
      <c r="Q242" s="122"/>
      <c r="R242" s="122"/>
      <c r="S242" s="122"/>
      <c r="T242" s="122"/>
      <c r="U242" s="118"/>
      <c r="V242" s="117"/>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78.75" x14ac:dyDescent="0.2">
      <c r="A243" s="97" t="s">
        <v>240</v>
      </c>
      <c r="B243" s="19" t="s">
        <v>541</v>
      </c>
      <c r="C243" s="14" t="s">
        <v>115</v>
      </c>
      <c r="D243" s="14"/>
      <c r="E243" s="14"/>
      <c r="F243" s="20"/>
      <c r="G243" s="54"/>
      <c r="H243" s="37"/>
      <c r="I243" s="37" t="s">
        <v>470</v>
      </c>
      <c r="J243" s="80"/>
      <c r="K243" s="83"/>
      <c r="L243" s="81">
        <f t="shared" si="4"/>
        <v>0</v>
      </c>
      <c r="M243" s="123"/>
      <c r="N243" s="125" t="s">
        <v>1185</v>
      </c>
      <c r="O243" s="125" t="s">
        <v>1097</v>
      </c>
      <c r="P243" s="124" t="s">
        <v>1128</v>
      </c>
      <c r="Q243" s="124" t="s">
        <v>1128</v>
      </c>
      <c r="R243" s="124" t="s">
        <v>1129</v>
      </c>
      <c r="S243" s="124" t="s">
        <v>1130</v>
      </c>
      <c r="T243" s="124" t="s">
        <v>1131</v>
      </c>
      <c r="U243" s="126" t="s">
        <v>1132</v>
      </c>
      <c r="V243" s="127" t="s">
        <v>1133</v>
      </c>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47.25" x14ac:dyDescent="0.2">
      <c r="A244" s="96" t="s">
        <v>241</v>
      </c>
      <c r="B244" s="19" t="s">
        <v>589</v>
      </c>
      <c r="C244" s="14" t="s">
        <v>115</v>
      </c>
      <c r="D244" s="14"/>
      <c r="E244" s="14"/>
      <c r="F244" s="20"/>
      <c r="G244" s="65" t="str">
        <f>IF(C244="","",IF(C244="Yes","Please describe these controls.",""))</f>
        <v>Please describe these controls.</v>
      </c>
      <c r="H244" s="37">
        <v>16</v>
      </c>
      <c r="I244" s="37" t="s">
        <v>420</v>
      </c>
      <c r="J244" s="80"/>
      <c r="K244" s="83"/>
      <c r="L244" s="81">
        <f t="shared" si="4"/>
        <v>0</v>
      </c>
      <c r="M244" s="123"/>
      <c r="N244" s="123"/>
      <c r="O244" s="125" t="s">
        <v>1097</v>
      </c>
      <c r="P244" s="124" t="s">
        <v>1134</v>
      </c>
      <c r="Q244" s="124" t="s">
        <v>1134</v>
      </c>
      <c r="R244" s="124" t="s">
        <v>1135</v>
      </c>
      <c r="S244" s="122" t="s">
        <v>924</v>
      </c>
      <c r="T244" s="124" t="s">
        <v>1136</v>
      </c>
      <c r="U244" s="126" t="s">
        <v>1137</v>
      </c>
      <c r="V244" s="117" t="s">
        <v>986</v>
      </c>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28.5" x14ac:dyDescent="0.2">
      <c r="A245" s="97" t="s">
        <v>242</v>
      </c>
      <c r="B245" s="19" t="s">
        <v>349</v>
      </c>
      <c r="C245" s="14" t="s">
        <v>115</v>
      </c>
      <c r="D245" s="14"/>
      <c r="E245" s="14"/>
      <c r="F245" s="20"/>
      <c r="G245" s="54"/>
      <c r="H245" s="37"/>
      <c r="I245" s="37"/>
      <c r="J245" s="80"/>
      <c r="K245" s="83"/>
      <c r="L245" s="81">
        <f t="shared" si="4"/>
        <v>0</v>
      </c>
      <c r="M245" s="123"/>
      <c r="N245" s="123"/>
      <c r="O245" s="123"/>
      <c r="P245" s="122" t="s">
        <v>780</v>
      </c>
      <c r="Q245" s="122" t="s">
        <v>780</v>
      </c>
      <c r="R245" s="122"/>
      <c r="S245" s="122"/>
      <c r="T245" s="122"/>
      <c r="U245" s="118" t="s">
        <v>832</v>
      </c>
      <c r="V245" s="117" t="s">
        <v>736</v>
      </c>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47.25" x14ac:dyDescent="0.2">
      <c r="A246" s="97" t="s">
        <v>251</v>
      </c>
      <c r="B246" s="19" t="s">
        <v>648</v>
      </c>
      <c r="C246" s="14" t="s">
        <v>115</v>
      </c>
      <c r="D246" s="14"/>
      <c r="E246" s="14"/>
      <c r="F246" s="20"/>
      <c r="G246" s="54" t="str">
        <f>IF(C246="","",IF(C246="Yes","Please describe how the antimalware is maintained and kept up-to-date.","Please describe any plans to install antimalware on all end nodes."))</f>
        <v>Please describe how the antimalware is maintained and kept up-to-date.</v>
      </c>
      <c r="H246" s="37"/>
      <c r="I246" s="37"/>
      <c r="J246" s="80"/>
      <c r="K246" s="83"/>
      <c r="L246" s="81">
        <f t="shared" si="4"/>
        <v>0</v>
      </c>
      <c r="M246" s="123"/>
      <c r="N246" s="123"/>
      <c r="O246" s="125" t="s">
        <v>1098</v>
      </c>
      <c r="P246" s="122" t="s">
        <v>1105</v>
      </c>
      <c r="Q246" s="122" t="s">
        <v>1105</v>
      </c>
      <c r="R246" s="122" t="s">
        <v>1138</v>
      </c>
      <c r="S246" s="122" t="s">
        <v>1107</v>
      </c>
      <c r="T246" s="124" t="s">
        <v>1139</v>
      </c>
      <c r="U246" s="118" t="s">
        <v>1140</v>
      </c>
      <c r="V246" s="117" t="s">
        <v>1110</v>
      </c>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28.5" x14ac:dyDescent="0.2">
      <c r="A247" s="97" t="s">
        <v>271</v>
      </c>
      <c r="B247" s="3" t="s">
        <v>159</v>
      </c>
      <c r="C247" s="14" t="s">
        <v>115</v>
      </c>
      <c r="D247" s="14"/>
      <c r="E247" s="14"/>
      <c r="F247" s="13"/>
      <c r="G247" s="54" t="str">
        <f>IF(C247="","",IF(C247="Yes","Please describe your endpoint protection strategy.","Please describe your endpoint protection strategy."))</f>
        <v>Please describe your endpoint protection strategy.</v>
      </c>
      <c r="H247" s="37"/>
      <c r="I247" s="37"/>
      <c r="J247" s="80"/>
      <c r="K247" s="83"/>
      <c r="L247" s="81">
        <f t="shared" si="4"/>
        <v>0</v>
      </c>
      <c r="M247" s="123"/>
      <c r="N247" s="123"/>
      <c r="O247" s="123"/>
      <c r="P247" s="122"/>
      <c r="Q247" s="122"/>
      <c r="R247" s="122"/>
      <c r="S247" s="122"/>
      <c r="T247" s="122"/>
      <c r="U247" s="118" t="s">
        <v>1091</v>
      </c>
      <c r="V247" s="11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99.75" x14ac:dyDescent="0.2">
      <c r="A248" s="97" t="s">
        <v>274</v>
      </c>
      <c r="B248" s="3" t="s">
        <v>129</v>
      </c>
      <c r="C248" s="14" t="s">
        <v>115</v>
      </c>
      <c r="D248" s="14"/>
      <c r="E248" s="14"/>
      <c r="F248" s="13"/>
      <c r="G248" s="55" t="str">
        <f>IF(C248="","",IF(C248="Yes","Describe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Describe your risk management program, including how you manage supply chain risk. Describe or attach any written policies or procedures. Please indcate the frequency at which this policy is reviewed and updated.</v>
      </c>
      <c r="H248" s="37"/>
      <c r="I248" s="37"/>
      <c r="J248" s="80"/>
      <c r="K248" s="83"/>
      <c r="L248" s="81">
        <f t="shared" si="4"/>
        <v>0</v>
      </c>
      <c r="M248" s="123"/>
      <c r="N248" s="123"/>
      <c r="O248" s="123"/>
      <c r="P248" s="122" t="s">
        <v>1141</v>
      </c>
      <c r="Q248" s="122" t="s">
        <v>1141</v>
      </c>
      <c r="R248" s="122"/>
      <c r="S248" s="122" t="s">
        <v>1142</v>
      </c>
      <c r="T248" s="122" t="s">
        <v>1143</v>
      </c>
      <c r="U248" s="118" t="s">
        <v>895</v>
      </c>
      <c r="V248" s="127" t="s">
        <v>871</v>
      </c>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28.5" x14ac:dyDescent="0.2">
      <c r="A249" s="97" t="s">
        <v>278</v>
      </c>
      <c r="B249" s="4" t="s">
        <v>136</v>
      </c>
      <c r="C249" s="14" t="s">
        <v>116</v>
      </c>
      <c r="D249" s="14"/>
      <c r="E249" s="14"/>
      <c r="F249" s="13"/>
      <c r="G249" s="55" t="str">
        <f>IF(C249="","",IF(C249="Yes","Please provide a copy of the most recent audit.","State any plans to have a SOC 2 Type II audit conducted."))</f>
        <v>State any plans to have a SOC 2 Type II audit conducted.</v>
      </c>
      <c r="H249" s="37"/>
      <c r="I249" s="37"/>
      <c r="J249" s="80"/>
      <c r="K249" s="83"/>
      <c r="L249" s="81">
        <f t="shared" si="4"/>
        <v>0</v>
      </c>
      <c r="M249" s="123"/>
      <c r="N249" s="123"/>
      <c r="O249" s="123"/>
      <c r="P249" s="122"/>
      <c r="Q249" s="122"/>
      <c r="R249" s="122"/>
      <c r="S249" s="122"/>
      <c r="T249" s="122"/>
      <c r="U249" s="118"/>
      <c r="V249" s="117"/>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42.75" x14ac:dyDescent="0.2">
      <c r="A250" s="97" t="s">
        <v>279</v>
      </c>
      <c r="B250" s="36" t="s">
        <v>649</v>
      </c>
      <c r="C250" s="14" t="s">
        <v>115</v>
      </c>
      <c r="D250" s="14"/>
      <c r="E250" s="14"/>
      <c r="F250" s="13"/>
      <c r="G250" s="55" t="str">
        <f>IF(C250="","",IF(C250="Yes","Please provide any currently effective certifications.","State any plans to obtain such compliance certifications."))</f>
        <v>Please provide any currently effective certifications.</v>
      </c>
      <c r="H250" s="37"/>
      <c r="I250" s="37"/>
      <c r="J250" s="80"/>
      <c r="K250" s="83"/>
      <c r="L250" s="81">
        <f t="shared" si="4"/>
        <v>0</v>
      </c>
      <c r="M250" s="123"/>
      <c r="N250" s="123"/>
      <c r="O250" s="123"/>
      <c r="P250" s="122"/>
      <c r="Q250" s="122"/>
      <c r="R250" s="122"/>
      <c r="S250" s="122"/>
      <c r="T250" s="122"/>
      <c r="U250" s="118"/>
      <c r="V250" s="117"/>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56.25" customHeight="1" x14ac:dyDescent="0.2">
      <c r="A251" s="97" t="s">
        <v>289</v>
      </c>
      <c r="B251" s="36" t="s">
        <v>1200</v>
      </c>
      <c r="C251" s="14" t="s">
        <v>115</v>
      </c>
      <c r="D251" s="14"/>
      <c r="E251" s="14"/>
      <c r="F251" s="13"/>
      <c r="G251" s="54"/>
      <c r="H251" s="37"/>
      <c r="I251" s="37"/>
      <c r="J251" s="80"/>
      <c r="K251" s="83"/>
      <c r="L251" s="81">
        <f t="shared" si="4"/>
        <v>0</v>
      </c>
      <c r="M251" s="123"/>
      <c r="N251" s="123"/>
      <c r="O251" s="123"/>
      <c r="P251" s="122"/>
      <c r="Q251" s="122"/>
      <c r="R251" s="122"/>
      <c r="S251" s="122"/>
      <c r="T251" s="122"/>
      <c r="U251" s="118"/>
      <c r="V251" s="117"/>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57" x14ac:dyDescent="0.2">
      <c r="A252" s="97" t="s">
        <v>298</v>
      </c>
      <c r="B252" s="3" t="s">
        <v>542</v>
      </c>
      <c r="C252" s="14" t="s">
        <v>115</v>
      </c>
      <c r="D252" s="14"/>
      <c r="E252" s="14"/>
      <c r="F252" s="13"/>
      <c r="G252" s="54" t="str">
        <f>IF(C252="","",IF(C252="Yes","Provide a detailed summary outlining the security controls implemented to protect the Utility's data.",""))</f>
        <v>Provide a detailed summary outlining the security controls implemented to protect the Utility's data.</v>
      </c>
      <c r="H252" s="37"/>
      <c r="I252" s="37"/>
      <c r="J252" s="80"/>
      <c r="K252" s="83"/>
      <c r="L252" s="81">
        <f t="shared" si="4"/>
        <v>0</v>
      </c>
      <c r="M252" s="123"/>
      <c r="N252" s="123"/>
      <c r="O252" s="123"/>
      <c r="P252" s="122" t="s">
        <v>1144</v>
      </c>
      <c r="Q252" s="122" t="s">
        <v>1144</v>
      </c>
      <c r="R252" s="122" t="s">
        <v>1145</v>
      </c>
      <c r="S252" s="122"/>
      <c r="T252" s="122"/>
      <c r="U252" s="118"/>
      <c r="V252" s="117"/>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28.5" x14ac:dyDescent="0.2">
      <c r="A253" s="97" t="s">
        <v>307</v>
      </c>
      <c r="B253" s="3" t="s">
        <v>75</v>
      </c>
      <c r="C253" s="14" t="s">
        <v>115</v>
      </c>
      <c r="D253" s="14"/>
      <c r="E253" s="14"/>
      <c r="F253" s="13"/>
      <c r="G253" s="54" t="str">
        <f>IF(C253="","",IF(C253="Yes","State the retention period for security video.","State your plans to retain video monitoring feeds."))</f>
        <v>State the retention period for security video.</v>
      </c>
      <c r="H253" s="37"/>
      <c r="I253" s="37"/>
      <c r="J253" s="80"/>
      <c r="K253" s="83"/>
      <c r="L253" s="81">
        <f t="shared" si="4"/>
        <v>0</v>
      </c>
      <c r="M253" s="123"/>
      <c r="N253" s="123"/>
      <c r="O253" s="123"/>
      <c r="P253" s="122" t="s">
        <v>1146</v>
      </c>
      <c r="Q253" s="122" t="s">
        <v>1146</v>
      </c>
      <c r="R253" s="122"/>
      <c r="S253" s="122"/>
      <c r="T253" s="122"/>
      <c r="U253" s="118"/>
      <c r="V253" s="117"/>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28.5" x14ac:dyDescent="0.2">
      <c r="A254" s="97" t="s">
        <v>311</v>
      </c>
      <c r="B254" s="3" t="s">
        <v>76</v>
      </c>
      <c r="C254" s="14" t="s">
        <v>115</v>
      </c>
      <c r="D254" s="14"/>
      <c r="E254" s="14"/>
      <c r="F254" s="13"/>
      <c r="G254" s="54" t="str">
        <f>IF(C254="","",IF(C254="Yes","Summarize your video monitoring strategy for datacenter staff.","Describe plans to have video feed(s) monitored."))</f>
        <v>Summarize your video monitoring strategy for datacenter staff.</v>
      </c>
      <c r="H254" s="37"/>
      <c r="I254" s="37"/>
      <c r="J254" s="80"/>
      <c r="K254" s="83"/>
      <c r="L254" s="81">
        <f t="shared" si="4"/>
        <v>0</v>
      </c>
      <c r="M254" s="123"/>
      <c r="N254" s="123"/>
      <c r="O254" s="123"/>
      <c r="P254" s="122" t="s">
        <v>1146</v>
      </c>
      <c r="Q254" s="122" t="s">
        <v>1146</v>
      </c>
      <c r="R254" s="122" t="s">
        <v>1147</v>
      </c>
      <c r="S254" s="122" t="s">
        <v>1037</v>
      </c>
      <c r="T254" s="122" t="s">
        <v>1038</v>
      </c>
      <c r="U254" s="118" t="s">
        <v>1039</v>
      </c>
      <c r="V254" s="117" t="s">
        <v>952</v>
      </c>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28.5" x14ac:dyDescent="0.2">
      <c r="A255" s="97" t="s">
        <v>321</v>
      </c>
      <c r="B255" s="3" t="s">
        <v>488</v>
      </c>
      <c r="C255" s="14" t="s">
        <v>115</v>
      </c>
      <c r="D255" s="14"/>
      <c r="E255" s="14"/>
      <c r="F255" s="13"/>
      <c r="G255" s="53" t="str">
        <f>IF(C255="","",IF(C255="Yes","Describe all operating systems that are not currently supported, why they still need to be used (i.e. why they cannot be updated), and methods utilized to secure and maintain them.",""))</f>
        <v>Describe all operating systems that are not currently supported, why they still need to be used (i.e. why they cannot be updated), and methods utilized to secure and maintain them.</v>
      </c>
      <c r="H255" s="37"/>
      <c r="I255" s="37"/>
      <c r="J255" s="80"/>
      <c r="K255" s="83"/>
      <c r="L255" s="81">
        <f t="shared" si="4"/>
        <v>0</v>
      </c>
      <c r="M255" s="123"/>
      <c r="N255" s="123"/>
      <c r="O255" s="123"/>
      <c r="P255" s="122"/>
      <c r="Q255" s="122"/>
      <c r="R255" s="122"/>
      <c r="S255" s="122"/>
      <c r="T255" s="122"/>
      <c r="U255" s="118"/>
      <c r="V255" s="117"/>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85.5" x14ac:dyDescent="0.2">
      <c r="A256" s="97" t="s">
        <v>324</v>
      </c>
      <c r="B256" s="3" t="s">
        <v>543</v>
      </c>
      <c r="C256" s="14" t="s">
        <v>116</v>
      </c>
      <c r="D256" s="14"/>
      <c r="E256" s="14"/>
      <c r="F256" s="13"/>
      <c r="G256" s="53" t="str">
        <f>IF(C256="","",IF(C256="Yes","Detail all web browsers that are not currently supported, why they still need to be used (i.e. why they cannot be updated), and methods utilized to secure and maintain them.",""))</f>
        <v/>
      </c>
      <c r="H256" s="37"/>
      <c r="I256" s="37"/>
      <c r="J256" s="80"/>
      <c r="K256" s="83"/>
      <c r="L256" s="81">
        <f t="shared" si="4"/>
        <v>0</v>
      </c>
      <c r="M256" s="123"/>
      <c r="N256" s="123"/>
      <c r="O256" s="123"/>
      <c r="P256" s="122"/>
      <c r="Q256" s="122"/>
      <c r="R256" s="122"/>
      <c r="S256" s="122"/>
      <c r="T256" s="122"/>
      <c r="U256" s="118"/>
      <c r="V256" s="117"/>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57" x14ac:dyDescent="0.2">
      <c r="A257" s="97" t="s">
        <v>351</v>
      </c>
      <c r="B257" s="3" t="s">
        <v>80</v>
      </c>
      <c r="C257" s="14" t="s">
        <v>115</v>
      </c>
      <c r="D257" s="14"/>
      <c r="E257" s="14"/>
      <c r="F257" s="13"/>
      <c r="G257" s="54" t="str">
        <f>IF(C257="","",IF(C257="Yes","Summarize the information security principles designed into the product lifecycle and how they are integrated.","Describe why security principles are not designed into the product lifecycle."))</f>
        <v>Summarize the information security principles designed into the product lifecycle and how they are integrated.</v>
      </c>
      <c r="H257" s="37"/>
      <c r="I257" s="37"/>
      <c r="J257" s="80"/>
      <c r="K257" s="83"/>
      <c r="L257" s="81">
        <f t="shared" si="4"/>
        <v>0</v>
      </c>
      <c r="M257" s="123"/>
      <c r="N257" s="123"/>
      <c r="O257" s="123"/>
      <c r="P257" s="124" t="s">
        <v>1148</v>
      </c>
      <c r="Q257" s="124" t="s">
        <v>1148</v>
      </c>
      <c r="R257" s="122" t="s">
        <v>1149</v>
      </c>
      <c r="S257" s="122" t="s">
        <v>744</v>
      </c>
      <c r="T257" s="124" t="s">
        <v>1150</v>
      </c>
      <c r="U257" s="118" t="s">
        <v>916</v>
      </c>
      <c r="V257" s="117" t="s">
        <v>747</v>
      </c>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108" x14ac:dyDescent="0.2">
      <c r="A258" s="138" t="s">
        <v>145</v>
      </c>
      <c r="B258" s="138"/>
      <c r="C258" s="2" t="s">
        <v>564</v>
      </c>
      <c r="D258" s="2" t="s">
        <v>565</v>
      </c>
      <c r="E258" s="2" t="s">
        <v>101</v>
      </c>
      <c r="F258" s="2" t="s">
        <v>17</v>
      </c>
      <c r="G258" s="2" t="s">
        <v>18</v>
      </c>
      <c r="H258" s="2" t="s">
        <v>348</v>
      </c>
      <c r="I258" s="2" t="s">
        <v>375</v>
      </c>
      <c r="J258" s="186" t="s">
        <v>615</v>
      </c>
      <c r="K258" s="187"/>
      <c r="L258" s="79">
        <f>SUM(L259:L274)</f>
        <v>0</v>
      </c>
      <c r="M258" s="104" t="s">
        <v>657</v>
      </c>
      <c r="N258" s="104" t="s">
        <v>658</v>
      </c>
      <c r="O258" s="104" t="s">
        <v>659</v>
      </c>
      <c r="P258" s="105" t="s">
        <v>660</v>
      </c>
      <c r="Q258" s="105" t="s">
        <v>661</v>
      </c>
      <c r="R258" s="105" t="s">
        <v>662</v>
      </c>
      <c r="S258" s="106" t="s">
        <v>663</v>
      </c>
      <c r="T258" s="107" t="s">
        <v>666</v>
      </c>
      <c r="U258" s="105" t="s">
        <v>669</v>
      </c>
      <c r="V258" s="105" t="s">
        <v>673</v>
      </c>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57" x14ac:dyDescent="0.2">
      <c r="A259" s="97" t="s">
        <v>83</v>
      </c>
      <c r="B259" s="19" t="s">
        <v>347</v>
      </c>
      <c r="C259" s="14" t="s">
        <v>115</v>
      </c>
      <c r="D259" s="14"/>
      <c r="E259" s="14"/>
      <c r="F259" s="13"/>
      <c r="G259" s="54" t="str">
        <f>IF(C259="","",IF(C259="Yes","Describe your external application vulnerability scanning strategy and provide when the last assessment was performed","Describe any plans to implement external vulnerability scanning for your applications."))</f>
        <v>Describe your external application vulnerability scanning strategy and provide when the last assessment was performed</v>
      </c>
      <c r="H259" s="37"/>
      <c r="I259" s="37"/>
      <c r="J259" s="80"/>
      <c r="K259" s="83"/>
      <c r="L259" s="81">
        <f t="shared" ref="L259:L276" si="5">J259*K259</f>
        <v>0</v>
      </c>
      <c r="M259" s="125" t="s">
        <v>678</v>
      </c>
      <c r="N259" s="123"/>
      <c r="O259" s="125" t="s">
        <v>1151</v>
      </c>
      <c r="P259" s="122" t="s">
        <v>715</v>
      </c>
      <c r="Q259" s="122" t="s">
        <v>715</v>
      </c>
      <c r="R259" s="122" t="s">
        <v>698</v>
      </c>
      <c r="S259" s="122" t="s">
        <v>716</v>
      </c>
      <c r="T259" s="124" t="s">
        <v>1155</v>
      </c>
      <c r="U259" s="118" t="s">
        <v>701</v>
      </c>
      <c r="V259" s="117" t="s">
        <v>702</v>
      </c>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30" customHeight="1" x14ac:dyDescent="0.2">
      <c r="A260" s="97" t="s">
        <v>84</v>
      </c>
      <c r="B260" s="3" t="s">
        <v>86</v>
      </c>
      <c r="C260" s="14" t="s">
        <v>115</v>
      </c>
      <c r="D260" s="14"/>
      <c r="E260" s="14"/>
      <c r="F260" s="13"/>
      <c r="G260" s="54" t="str">
        <f>IF(C260="","",IF(C260="Yes","Summarize your vulnerability scanning strategy.","Describe plans to implement application vulnerability scanning prior to release."))</f>
        <v>Summarize your vulnerability scanning strategy.</v>
      </c>
      <c r="H260" s="37"/>
      <c r="I260" s="37"/>
      <c r="J260" s="80"/>
      <c r="K260" s="83"/>
      <c r="L260" s="81">
        <f t="shared" si="5"/>
        <v>0</v>
      </c>
      <c r="M260" s="123"/>
      <c r="N260" s="123"/>
      <c r="O260" s="123" t="s">
        <v>1152</v>
      </c>
      <c r="P260" s="122" t="s">
        <v>1156</v>
      </c>
      <c r="Q260" s="122" t="s">
        <v>1156</v>
      </c>
      <c r="R260" s="122"/>
      <c r="S260" s="122"/>
      <c r="T260" s="122" t="s">
        <v>1157</v>
      </c>
      <c r="U260" s="118" t="s">
        <v>1158</v>
      </c>
      <c r="V260" s="117" t="s">
        <v>747</v>
      </c>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57" x14ac:dyDescent="0.2">
      <c r="A261" s="97" t="s">
        <v>85</v>
      </c>
      <c r="B261" s="3" t="s">
        <v>78</v>
      </c>
      <c r="C261" s="14" t="s">
        <v>115</v>
      </c>
      <c r="D261" s="14"/>
      <c r="E261" s="14"/>
      <c r="F261" s="13"/>
      <c r="G261" s="56" t="str">
        <f>IF(C261="","",IF(C261="Yes","Provide a list of the results and all tools utilized during static code analysis or static application security testing.","State your plans to implement static code testing practices into your environment."))</f>
        <v>Provide a list of the results and all tools utilized during static code analysis or static application security testing.</v>
      </c>
      <c r="H261" s="37"/>
      <c r="I261" s="37"/>
      <c r="J261" s="80"/>
      <c r="K261" s="83"/>
      <c r="L261" s="81">
        <f t="shared" si="5"/>
        <v>0</v>
      </c>
      <c r="M261" s="123"/>
      <c r="N261" s="123"/>
      <c r="O261" s="123"/>
      <c r="P261" s="122" t="s">
        <v>1156</v>
      </c>
      <c r="Q261" s="122" t="s">
        <v>1156</v>
      </c>
      <c r="R261" s="122"/>
      <c r="S261" s="122"/>
      <c r="T261" s="124" t="s">
        <v>1159</v>
      </c>
      <c r="U261" s="118" t="s">
        <v>1158</v>
      </c>
      <c r="V261" s="117"/>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85.5" x14ac:dyDescent="0.2">
      <c r="A262" s="97" t="s">
        <v>87</v>
      </c>
      <c r="B262" s="19" t="s">
        <v>607</v>
      </c>
      <c r="C262" s="14" t="s">
        <v>115</v>
      </c>
      <c r="D262" s="14"/>
      <c r="E262" s="14"/>
      <c r="F262" s="20"/>
      <c r="G262" s="54"/>
      <c r="H262" s="37"/>
      <c r="I262" s="37" t="s">
        <v>469</v>
      </c>
      <c r="J262" s="80"/>
      <c r="K262" s="83"/>
      <c r="L262" s="81">
        <f t="shared" si="5"/>
        <v>0</v>
      </c>
      <c r="M262" s="123" t="s">
        <v>1096</v>
      </c>
      <c r="N262" s="123"/>
      <c r="O262" s="123"/>
      <c r="P262" s="124" t="s">
        <v>1160</v>
      </c>
      <c r="Q262" s="124" t="s">
        <v>1160</v>
      </c>
      <c r="R262" s="122" t="s">
        <v>918</v>
      </c>
      <c r="S262" s="124" t="s">
        <v>1176</v>
      </c>
      <c r="T262" s="124" t="s">
        <v>1161</v>
      </c>
      <c r="U262" s="126" t="s">
        <v>1162</v>
      </c>
      <c r="V262" s="127" t="s">
        <v>1163</v>
      </c>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57" x14ac:dyDescent="0.2">
      <c r="A263" s="97" t="s">
        <v>88</v>
      </c>
      <c r="B263" s="19" t="s">
        <v>544</v>
      </c>
      <c r="C263" s="14" t="s">
        <v>115</v>
      </c>
      <c r="D263" s="14"/>
      <c r="E263" s="14"/>
      <c r="F263" s="20"/>
      <c r="G263" s="53" t="str">
        <f>IF(C263="","",IF(C263="Yes","Please describe in adequate detail, including timeframe for notification.",""))</f>
        <v>Please describe in adequate detail, including timeframe for notification.</v>
      </c>
      <c r="H263" s="37">
        <v>57</v>
      </c>
      <c r="I263" s="37" t="s">
        <v>471</v>
      </c>
      <c r="J263" s="80"/>
      <c r="K263" s="83"/>
      <c r="L263" s="81">
        <f t="shared" si="5"/>
        <v>0</v>
      </c>
      <c r="M263" s="123" t="s">
        <v>1096</v>
      </c>
      <c r="N263" s="123"/>
      <c r="O263" s="123"/>
      <c r="P263" s="124" t="s">
        <v>1164</v>
      </c>
      <c r="Q263" s="124" t="s">
        <v>1164</v>
      </c>
      <c r="R263" s="122" t="s">
        <v>918</v>
      </c>
      <c r="S263" s="124" t="s">
        <v>1176</v>
      </c>
      <c r="T263" s="124" t="s">
        <v>1165</v>
      </c>
      <c r="U263" s="126" t="s">
        <v>1162</v>
      </c>
      <c r="V263" s="127" t="s">
        <v>1166</v>
      </c>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57" x14ac:dyDescent="0.2">
      <c r="A264" s="97" t="s">
        <v>89</v>
      </c>
      <c r="B264" s="19" t="s">
        <v>650</v>
      </c>
      <c r="C264" s="14" t="s">
        <v>115</v>
      </c>
      <c r="D264" s="14"/>
      <c r="E264" s="14"/>
      <c r="F264" s="20"/>
      <c r="G264" s="53" t="str">
        <f>IF(C264="","",IF(C264="Yes","Describe your process to remediate security risks identified and provide timeframe.","Describe any plans to implement a process to remediate security risks identified."))</f>
        <v>Describe your process to remediate security risks identified and provide timeframe.</v>
      </c>
      <c r="H264" s="37"/>
      <c r="I264" s="37"/>
      <c r="J264" s="80"/>
      <c r="K264" s="83"/>
      <c r="L264" s="81">
        <f t="shared" si="5"/>
        <v>0</v>
      </c>
      <c r="M264" s="123" t="s">
        <v>1052</v>
      </c>
      <c r="N264" s="123"/>
      <c r="O264" s="123"/>
      <c r="P264" s="122"/>
      <c r="Q264" s="122"/>
      <c r="R264" s="122"/>
      <c r="S264" s="122"/>
      <c r="T264" s="124" t="s">
        <v>1167</v>
      </c>
      <c r="U264" s="118"/>
      <c r="V264" s="117"/>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28.5" x14ac:dyDescent="0.2">
      <c r="A265" s="97" t="s">
        <v>90</v>
      </c>
      <c r="B265" s="19" t="s">
        <v>608</v>
      </c>
      <c r="C265" s="14" t="s">
        <v>115</v>
      </c>
      <c r="D265" s="14"/>
      <c r="E265" s="14"/>
      <c r="F265" s="20"/>
      <c r="G265" s="53"/>
      <c r="H265" s="37"/>
      <c r="I265" s="37"/>
      <c r="J265" s="80"/>
      <c r="K265" s="83"/>
      <c r="L265" s="81">
        <f t="shared" si="5"/>
        <v>0</v>
      </c>
      <c r="M265" s="123"/>
      <c r="N265" s="123"/>
      <c r="O265" s="123" t="s">
        <v>908</v>
      </c>
      <c r="P265" s="122" t="s">
        <v>1168</v>
      </c>
      <c r="Q265" s="122" t="s">
        <v>1168</v>
      </c>
      <c r="R265" s="122" t="s">
        <v>902</v>
      </c>
      <c r="S265" s="122" t="s">
        <v>924</v>
      </c>
      <c r="T265" s="122" t="s">
        <v>1169</v>
      </c>
      <c r="U265" s="118"/>
      <c r="V265" s="117" t="s">
        <v>747</v>
      </c>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57" x14ac:dyDescent="0.2">
      <c r="A266" s="97" t="s">
        <v>243</v>
      </c>
      <c r="B266" s="3" t="s">
        <v>112</v>
      </c>
      <c r="C266" s="14" t="s">
        <v>115</v>
      </c>
      <c r="D266" s="14"/>
      <c r="E266" s="14"/>
      <c r="F266" s="13"/>
      <c r="G266" s="54" t="str">
        <f>IF(C266="","",IF(C266="Yes","Decribe your external system vulnerability scanning strategy, including the frequency of both types of scans.","Describe any plans to implement vulnerability scanning for your systems."))</f>
        <v>Decribe your external system vulnerability scanning strategy, including the frequency of both types of scans.</v>
      </c>
      <c r="H266" s="37" t="s">
        <v>573</v>
      </c>
      <c r="I266" s="37" t="s">
        <v>464</v>
      </c>
      <c r="J266" s="80"/>
      <c r="K266" s="83"/>
      <c r="L266" s="81">
        <f t="shared" si="5"/>
        <v>0</v>
      </c>
      <c r="M266" s="123"/>
      <c r="N266" s="123"/>
      <c r="O266" s="125" t="s">
        <v>1153</v>
      </c>
      <c r="P266" s="122" t="s">
        <v>715</v>
      </c>
      <c r="Q266" s="122" t="s">
        <v>715</v>
      </c>
      <c r="R266" s="122" t="s">
        <v>698</v>
      </c>
      <c r="S266" s="122" t="s">
        <v>716</v>
      </c>
      <c r="T266" s="124" t="s">
        <v>1155</v>
      </c>
      <c r="U266" s="118" t="s">
        <v>701</v>
      </c>
      <c r="V266" s="117" t="s">
        <v>702</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28.5" x14ac:dyDescent="0.2">
      <c r="A267" s="97" t="s">
        <v>244</v>
      </c>
      <c r="B267" s="3" t="s">
        <v>113</v>
      </c>
      <c r="C267" s="14" t="s">
        <v>115</v>
      </c>
      <c r="D267" s="14"/>
      <c r="E267" s="14"/>
      <c r="F267" s="13"/>
      <c r="G267" s="54" t="str">
        <f>IF(C267="","",IF(C267="Yes","State the date of your most recent system external assessment.","Describe any plans to have system external assessment(s) performed on your systems."))</f>
        <v>State the date of your most recent system external assessment.</v>
      </c>
      <c r="H267" s="37"/>
      <c r="I267" s="37"/>
      <c r="J267" s="80"/>
      <c r="K267" s="83"/>
      <c r="L267" s="81">
        <f t="shared" si="5"/>
        <v>0</v>
      </c>
      <c r="M267" s="123"/>
      <c r="N267" s="123"/>
      <c r="O267" s="123" t="s">
        <v>1154</v>
      </c>
      <c r="P267" s="122" t="s">
        <v>715</v>
      </c>
      <c r="Q267" s="122" t="s">
        <v>715</v>
      </c>
      <c r="R267" s="122" t="s">
        <v>698</v>
      </c>
      <c r="S267" s="122" t="s">
        <v>716</v>
      </c>
      <c r="T267" s="122"/>
      <c r="U267" s="118" t="s">
        <v>701</v>
      </c>
      <c r="V267" s="117" t="s">
        <v>702</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31.5" x14ac:dyDescent="0.2">
      <c r="A268" s="97" t="s">
        <v>245</v>
      </c>
      <c r="B268" s="3" t="s">
        <v>91</v>
      </c>
      <c r="C268" s="14"/>
      <c r="D268" s="14"/>
      <c r="E268" s="14"/>
      <c r="F268" s="12"/>
      <c r="G268" s="54" t="s">
        <v>571</v>
      </c>
      <c r="H268" s="37"/>
      <c r="I268" s="37"/>
      <c r="J268" s="80"/>
      <c r="K268" s="83"/>
      <c r="L268" s="81">
        <f t="shared" si="5"/>
        <v>0</v>
      </c>
      <c r="M268" s="123"/>
      <c r="N268" s="123"/>
      <c r="O268" s="123"/>
      <c r="P268" s="122" t="s">
        <v>715</v>
      </c>
      <c r="Q268" s="122" t="s">
        <v>715</v>
      </c>
      <c r="R268" s="122" t="s">
        <v>698</v>
      </c>
      <c r="S268" s="122" t="s">
        <v>716</v>
      </c>
      <c r="T268" s="124" t="s">
        <v>1170</v>
      </c>
      <c r="U268" s="118" t="s">
        <v>701</v>
      </c>
      <c r="V268" s="117" t="s">
        <v>702</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28.5" x14ac:dyDescent="0.2">
      <c r="A269" s="97" t="s">
        <v>246</v>
      </c>
      <c r="B269" s="3" t="s">
        <v>545</v>
      </c>
      <c r="C269" s="14" t="s">
        <v>115</v>
      </c>
      <c r="D269" s="14"/>
      <c r="E269" s="14"/>
      <c r="F269" s="13"/>
      <c r="G269" s="54" t="str">
        <f>IF(C269="","",IF(C269="Yes","Provide a reference to or attach security scan documentation.","Describe why security scan results will not be provided to the Utility."))</f>
        <v>Provide a reference to or attach security scan documentation.</v>
      </c>
      <c r="H269" s="37"/>
      <c r="I269" s="37"/>
      <c r="J269" s="80"/>
      <c r="K269" s="83"/>
      <c r="L269" s="81">
        <f t="shared" si="5"/>
        <v>0</v>
      </c>
      <c r="M269" s="123"/>
      <c r="N269" s="123"/>
      <c r="O269" s="123"/>
      <c r="P269" s="122" t="s">
        <v>715</v>
      </c>
      <c r="Q269" s="122" t="s">
        <v>715</v>
      </c>
      <c r="R269" s="122"/>
      <c r="S269" s="122"/>
      <c r="T269" s="122"/>
      <c r="U269" s="118"/>
      <c r="V269" s="117"/>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42.75" x14ac:dyDescent="0.2">
      <c r="A270" s="97" t="s">
        <v>247</v>
      </c>
      <c r="B270" s="19" t="s">
        <v>651</v>
      </c>
      <c r="C270" s="14" t="s">
        <v>115</v>
      </c>
      <c r="D270" s="14"/>
      <c r="E270" s="14"/>
      <c r="F270" s="13"/>
      <c r="G270" s="54" t="str">
        <f>IF(C270="","",IF(C270="Yes","Provide reference to the process or procedure to setup security testing times and scopes.","Provide a brief summary for your response."))</f>
        <v>Provide reference to the process or procedure to setup security testing times and scopes.</v>
      </c>
      <c r="H270" s="37"/>
      <c r="I270" s="37"/>
      <c r="J270" s="80"/>
      <c r="K270" s="83"/>
      <c r="L270" s="81">
        <f t="shared" si="5"/>
        <v>0</v>
      </c>
      <c r="M270" s="123"/>
      <c r="N270" s="123"/>
      <c r="O270" s="123"/>
      <c r="P270" s="122"/>
      <c r="Q270" s="122"/>
      <c r="R270" s="122"/>
      <c r="S270" s="122"/>
      <c r="T270" s="122"/>
      <c r="U270" s="118"/>
      <c r="V270" s="117"/>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99.75" x14ac:dyDescent="0.2">
      <c r="A271" s="97" t="s">
        <v>306</v>
      </c>
      <c r="B271" s="3" t="s">
        <v>79</v>
      </c>
      <c r="C271" s="14" t="s">
        <v>115</v>
      </c>
      <c r="D271" s="14"/>
      <c r="E271" s="14"/>
      <c r="F271" s="13"/>
      <c r="G271" s="56" t="str">
        <f>IF(C271="","",IF(C271="Yes","Describe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Describe testing processes, including but not limited to, development of test plans, personnel involved in the testing process, and authorized individual accountable for approval and certification of test results.</v>
      </c>
      <c r="H271" s="37"/>
      <c r="I271" s="37" t="s">
        <v>407</v>
      </c>
      <c r="J271" s="80"/>
      <c r="K271" s="83"/>
      <c r="L271" s="81">
        <f t="shared" si="5"/>
        <v>0</v>
      </c>
      <c r="M271" s="123"/>
      <c r="N271" s="123"/>
      <c r="O271" s="123"/>
      <c r="P271" s="122" t="s">
        <v>1156</v>
      </c>
      <c r="Q271" s="122" t="s">
        <v>1156</v>
      </c>
      <c r="R271" s="122"/>
      <c r="S271" s="122"/>
      <c r="T271" s="124" t="s">
        <v>1171</v>
      </c>
      <c r="U271" s="118" t="s">
        <v>916</v>
      </c>
      <c r="V271" s="117" t="s">
        <v>747</v>
      </c>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114" x14ac:dyDescent="0.2">
      <c r="A272" s="97" t="s">
        <v>316</v>
      </c>
      <c r="B272" s="3" t="s">
        <v>81</v>
      </c>
      <c r="C272" s="14" t="s">
        <v>115</v>
      </c>
      <c r="D272" s="14"/>
      <c r="E272" s="14"/>
      <c r="F272" s="13"/>
      <c r="G272" s="56" t="str">
        <f>IF(C272="","",IF(C272="Yes","Describe or provide a reference to/attach your system development life cycle methodology including your environments, version control, and change management (if not already covered in the Change Management section).","Describe any plans to implement a documented SDLC."))</f>
        <v>Describe or provide a reference to/attach your system development life cycle methodology including your environments, version control, and change management (if not already covered in the Change Management section).</v>
      </c>
      <c r="H272" s="37"/>
      <c r="I272" s="37"/>
      <c r="J272" s="80"/>
      <c r="K272" s="83"/>
      <c r="L272" s="81">
        <f t="shared" si="5"/>
        <v>0</v>
      </c>
      <c r="M272" s="123"/>
      <c r="N272" s="123"/>
      <c r="O272" s="123"/>
      <c r="P272" s="122" t="s">
        <v>743</v>
      </c>
      <c r="Q272" s="122" t="s">
        <v>743</v>
      </c>
      <c r="R272" s="122"/>
      <c r="S272" s="122" t="s">
        <v>744</v>
      </c>
      <c r="T272" s="124" t="s">
        <v>1172</v>
      </c>
      <c r="U272" s="118" t="s">
        <v>916</v>
      </c>
      <c r="V272" s="117" t="s">
        <v>747</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28.5" x14ac:dyDescent="0.2">
      <c r="A273" s="97" t="s">
        <v>318</v>
      </c>
      <c r="B273" s="3" t="s">
        <v>100</v>
      </c>
      <c r="C273" s="14" t="s">
        <v>115</v>
      </c>
      <c r="D273" s="14"/>
      <c r="E273" s="14"/>
      <c r="F273" s="13"/>
      <c r="G273" s="56"/>
      <c r="H273" s="37"/>
      <c r="I273" s="37"/>
      <c r="J273" s="80"/>
      <c r="K273" s="83"/>
      <c r="L273" s="81">
        <f t="shared" si="5"/>
        <v>0</v>
      </c>
      <c r="M273" s="123"/>
      <c r="N273" s="123"/>
      <c r="O273" s="123"/>
      <c r="P273" s="122" t="s">
        <v>1156</v>
      </c>
      <c r="Q273" s="122" t="s">
        <v>1156</v>
      </c>
      <c r="R273" s="122"/>
      <c r="S273" s="122"/>
      <c r="T273" s="122"/>
      <c r="U273" s="118"/>
      <c r="V273" s="117"/>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57" x14ac:dyDescent="0.2">
      <c r="A274" s="97" t="s">
        <v>319</v>
      </c>
      <c r="B274" s="19" t="s">
        <v>609</v>
      </c>
      <c r="C274" s="14" t="s">
        <v>115</v>
      </c>
      <c r="D274" s="14"/>
      <c r="E274" s="14"/>
      <c r="F274" s="12"/>
      <c r="G274" s="53" t="str">
        <f>IF(C274="","",IF(C274="Yes","Please provide information on the pentetration testing (i.e., when was the test conducted, key findings, etc.).","Please detail any current plans to conduct third-party penetration testing."))</f>
        <v>Please provide information on the pentetration testing (i.e., when was the test conducted, key findings, etc.).</v>
      </c>
      <c r="H274" s="37"/>
      <c r="I274" s="37"/>
      <c r="J274" s="80"/>
      <c r="K274" s="83"/>
      <c r="L274" s="81">
        <f t="shared" si="5"/>
        <v>0</v>
      </c>
      <c r="M274" s="123"/>
      <c r="N274" s="123"/>
      <c r="O274" s="123"/>
      <c r="P274" s="122"/>
      <c r="Q274" s="122" t="s">
        <v>1173</v>
      </c>
      <c r="R274" s="122"/>
      <c r="S274" s="122"/>
      <c r="T274" s="124" t="s">
        <v>1174</v>
      </c>
      <c r="U274" s="118"/>
      <c r="V274" s="117" t="s">
        <v>1175</v>
      </c>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108" x14ac:dyDescent="0.2">
      <c r="A275" s="138" t="s">
        <v>132</v>
      </c>
      <c r="B275" s="138"/>
      <c r="C275" s="2" t="s">
        <v>564</v>
      </c>
      <c r="D275" s="2" t="s">
        <v>565</v>
      </c>
      <c r="E275" s="2" t="s">
        <v>101</v>
      </c>
      <c r="F275" s="2" t="s">
        <v>17</v>
      </c>
      <c r="G275" s="2" t="s">
        <v>18</v>
      </c>
      <c r="H275" s="2" t="s">
        <v>348</v>
      </c>
      <c r="I275" s="2" t="s">
        <v>375</v>
      </c>
      <c r="J275" s="186" t="s">
        <v>615</v>
      </c>
      <c r="K275" s="187"/>
      <c r="L275" s="79">
        <f>L276</f>
        <v>0</v>
      </c>
      <c r="M275" s="104" t="s">
        <v>657</v>
      </c>
      <c r="N275" s="104" t="s">
        <v>658</v>
      </c>
      <c r="O275" s="104" t="s">
        <v>659</v>
      </c>
      <c r="P275" s="105" t="s">
        <v>660</v>
      </c>
      <c r="Q275" s="105" t="s">
        <v>661</v>
      </c>
      <c r="R275" s="105" t="s">
        <v>662</v>
      </c>
      <c r="S275" s="106" t="s">
        <v>663</v>
      </c>
      <c r="T275" s="107" t="s">
        <v>666</v>
      </c>
      <c r="U275" s="105" t="s">
        <v>669</v>
      </c>
      <c r="V275" s="105" t="s">
        <v>673</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28.5" x14ac:dyDescent="0.25">
      <c r="A276" s="97" t="s">
        <v>133</v>
      </c>
      <c r="B276" s="3" t="s">
        <v>135</v>
      </c>
      <c r="C276" s="13"/>
      <c r="D276" s="13"/>
      <c r="E276" s="13"/>
      <c r="F276" s="13"/>
      <c r="G276" s="54"/>
      <c r="H276" s="39"/>
      <c r="I276" s="40"/>
      <c r="J276" s="80"/>
      <c r="K276" s="83"/>
      <c r="L276" s="81">
        <f t="shared" si="5"/>
        <v>0</v>
      </c>
      <c r="M276" s="120"/>
      <c r="N276" s="120"/>
      <c r="O276" s="120"/>
      <c r="P276" s="113"/>
      <c r="Q276" s="113"/>
      <c r="R276" s="113"/>
      <c r="S276" s="113"/>
      <c r="T276" s="113"/>
      <c r="U276" s="114"/>
      <c r="V276" s="115"/>
      <c r="FT276"/>
    </row>
  </sheetData>
  <mergeCells count="82">
    <mergeCell ref="J275:K275"/>
    <mergeCell ref="J181:K181"/>
    <mergeCell ref="J207:K207"/>
    <mergeCell ref="J220:K220"/>
    <mergeCell ref="J231:K231"/>
    <mergeCell ref="J258:K258"/>
    <mergeCell ref="P44:S44"/>
    <mergeCell ref="C63:F63"/>
    <mergeCell ref="C86:E86"/>
    <mergeCell ref="C78:E78"/>
    <mergeCell ref="J5:K5"/>
    <mergeCell ref="J45:K45"/>
    <mergeCell ref="J60:K60"/>
    <mergeCell ref="C61:F61"/>
    <mergeCell ref="C62:F62"/>
    <mergeCell ref="C14:I14"/>
    <mergeCell ref="C7:I7"/>
    <mergeCell ref="C8:I8"/>
    <mergeCell ref="C9:I9"/>
    <mergeCell ref="C10:I10"/>
    <mergeCell ref="C13:I13"/>
    <mergeCell ref="C20:I20"/>
    <mergeCell ref="A156:B156"/>
    <mergeCell ref="C79:E79"/>
    <mergeCell ref="C15:I15"/>
    <mergeCell ref="C16:I16"/>
    <mergeCell ref="M44:O44"/>
    <mergeCell ref="C21:I21"/>
    <mergeCell ref="C22:I22"/>
    <mergeCell ref="C18:I18"/>
    <mergeCell ref="C19:I19"/>
    <mergeCell ref="J141:K141"/>
    <mergeCell ref="J156:K156"/>
    <mergeCell ref="J76:K76"/>
    <mergeCell ref="J90:K90"/>
    <mergeCell ref="J120:K120"/>
    <mergeCell ref="C89:E89"/>
    <mergeCell ref="C80:F80"/>
    <mergeCell ref="A275:B275"/>
    <mergeCell ref="A181:B181"/>
    <mergeCell ref="A207:B207"/>
    <mergeCell ref="A220:B220"/>
    <mergeCell ref="A231:B231"/>
    <mergeCell ref="A258:B258"/>
    <mergeCell ref="C71:E71"/>
    <mergeCell ref="C75:F75"/>
    <mergeCell ref="C87:F87"/>
    <mergeCell ref="C88:E88"/>
    <mergeCell ref="A141:B141"/>
    <mergeCell ref="C77:E77"/>
    <mergeCell ref="C74:F74"/>
    <mergeCell ref="C85:E85"/>
    <mergeCell ref="A1:F1"/>
    <mergeCell ref="A26:G26"/>
    <mergeCell ref="B39:G39"/>
    <mergeCell ref="C23:I23"/>
    <mergeCell ref="C24:I24"/>
    <mergeCell ref="A25:I25"/>
    <mergeCell ref="C2:I2"/>
    <mergeCell ref="A4:I4"/>
    <mergeCell ref="A3:I3"/>
    <mergeCell ref="A5:I5"/>
    <mergeCell ref="C6:I6"/>
    <mergeCell ref="C11:I11"/>
    <mergeCell ref="C12:I12"/>
    <mergeCell ref="C17:I17"/>
    <mergeCell ref="A60:B60"/>
    <mergeCell ref="C41:I41"/>
    <mergeCell ref="A2:B2"/>
    <mergeCell ref="A120:B120"/>
    <mergeCell ref="A42:I42"/>
    <mergeCell ref="C40:I40"/>
    <mergeCell ref="C59:F59"/>
    <mergeCell ref="C49:F49"/>
    <mergeCell ref="C48:F48"/>
    <mergeCell ref="A45:B45"/>
    <mergeCell ref="C47:F47"/>
    <mergeCell ref="C46:E46"/>
    <mergeCell ref="C115:F115"/>
    <mergeCell ref="A76:B76"/>
    <mergeCell ref="A43:I44"/>
    <mergeCell ref="A90:B90"/>
  </mergeCells>
  <phoneticPr fontId="31" type="noConversion"/>
  <conditionalFormatting sqref="L5 L45:L276">
    <cfRule type="cellIs" dxfId="0" priority="13" operator="lessThan">
      <formula>1</formula>
    </cfRule>
  </conditionalFormatting>
  <dataValidations count="1">
    <dataValidation type="list" allowBlank="1" showInputMessage="1" showErrorMessage="1" sqref="J61:K75 J77:K89 J121:K140 J142:K155 J157:K180 J182:K206 J208:K219 J221:K230 J232:K257 J276:K1048576 J259:K274 J46:K59 J91:K119" xr:uid="{8B351DFD-D064-4FE3-A6DD-61DFD5B3071C}">
      <formula1>"1,2,3,4,5"</formula1>
    </dataValidation>
  </dataValidations>
  <pageMargins left="0.75" right="0.75" top="1" bottom="1" header="0.5" footer="0.5"/>
  <pageSetup paperSize="5" scale="13" fitToHeight="0" orientation="landscape" r:id="rId1"/>
  <ignoredErrors>
    <ignoredError sqref="L90 L76 L60 L120 L141 L156 L181 L207 L220 L231 L258 L27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60353F1-9BEA-4E78-838E-41DD93D0A9E2}">
          <x14:formula1>
            <xm:f>Lists!$C$1:$C$3</xm:f>
          </x14:formula1>
          <xm:sqref>C46:E46 C64:E73 C269:E274 C81:E86 C88:E89 C113:E114 C204:E206 C223:E230 C149:E155 C118:E119 C77:E79 C182:E200 C202:E202 C221:E221 C142:E147 C157:E165 C167:E168 C170:E174 C208:E219 C121:E140 C92:E110 C232:E257 C176:E178 C180:E180 C259:E267 C53:E58 C116:E116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393EEC8522DF408C9A690E0A0336D9" ma:contentTypeVersion="1" ma:contentTypeDescription="Create a new document." ma:contentTypeScope="" ma:versionID="c827d5ac0ab41addc62f457df2742183">
  <xsd:schema xmlns:xsd="http://www.w3.org/2001/XMLSchema" xmlns:xs="http://www.w3.org/2001/XMLSchema" xmlns:p="http://schemas.microsoft.com/office/2006/metadata/properties" xmlns:ns2="f4f4e5ff-c7e2-442b-9a2b-f0472db823b5" targetNamespace="http://schemas.microsoft.com/office/2006/metadata/properties" ma:root="true" ma:fieldsID="4cbbbd869bab55b6b94861c1db76a86c" ns2:_="">
    <xsd:import namespace="f4f4e5ff-c7e2-442b-9a2b-f0472db823b5"/>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4e5ff-c7e2-442b-9a2b-f0472db823b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330AFE-EE77-4D17-BEE5-D03312FE0F78}">
  <ds:schemaRefs>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schemas.microsoft.com/office/infopath/2007/PartnerControls"/>
    <ds:schemaRef ds:uri="f4f4e5ff-c7e2-442b-9a2b-f0472db823b5"/>
    <ds:schemaRef ds:uri="http://www.w3.org/XML/1998/namespace"/>
    <ds:schemaRef ds:uri="http://purl.org/dc/elements/1.1/"/>
  </ds:schemaRefs>
</ds:datastoreItem>
</file>

<file path=customXml/itemProps2.xml><?xml version="1.0" encoding="utf-8"?>
<ds:datastoreItem xmlns:ds="http://schemas.openxmlformats.org/officeDocument/2006/customXml" ds:itemID="{784E3A60-E030-424A-92B3-6CB8ED6AD1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4e5ff-c7e2-442b-9a2b-f0472db823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79641E-2D16-45F0-A899-012B3F21D1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2025-07-15T19:30:52Z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0x01010038393EEC8522DF408C9A690E0A0336D9</vt:lpwstr>
  </property>
</Properties>
</file>